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O:\!!!!Правление (проекты решений)\2024\10. Октябрь\30.10.2024\11. Коммунальные системы корр 25 ВС ВО\"/>
    </mc:Choice>
  </mc:AlternateContent>
  <xr:revisionPtr revIDLastSave="0" documentId="13_ncr:1_{F0E62695-2F23-4D21-9EE3-CD0CBDFE9716}" xr6:coauthVersionLast="37" xr6:coauthVersionMax="37" xr10:uidLastSave="{00000000-0000-0000-0000-000000000000}"/>
  <bookViews>
    <workbookView xWindow="0" yWindow="0" windowWidth="28800" windowHeight="12225" xr2:uid="{98F1A173-84DD-47B6-87B2-3A42B09F9193}"/>
  </bookViews>
  <sheets>
    <sheet name="Калькуляция" sheetId="9" r:id="rId1"/>
    <sheet name="Корректировка тарифа" sheetId="2" state="hidden" r:id="rId2"/>
    <sheet name=" кор ПП(к реш" sheetId="8" state="hidden" r:id="rId3"/>
    <sheet name="РАСЧЕТ КиН" sheetId="7" state="hidden" r:id="rId4"/>
    <sheet name="АНАЛИЗ ДПР" sheetId="3" state="hidden" r:id="rId5"/>
    <sheet name="Динамика V" sheetId="4" state="hidden" r:id="rId6"/>
    <sheet name="ОПЕРАЦИОНКА" sheetId="5" state="hidden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buhg_flag">[1]Титульный!$F$32</definedName>
    <definedName name="dateBuhg">[1]Титульный!$F$33</definedName>
    <definedName name="ed_izm" localSheetId="2">#REF!</definedName>
    <definedName name="ed_izm">#REF!</definedName>
    <definedName name="FIRST_PERIOD_IN_LT">[2]Титульный!$AD$63</definedName>
    <definedName name="first_year">'[3]Общие сведения'!$H$9</definedName>
    <definedName name="gheger" localSheetId="2">#REF!</definedName>
    <definedName name="gheger">#REF!</definedName>
    <definedName name="god" localSheetId="2">#REF!</definedName>
    <definedName name="god">#REF!</definedName>
    <definedName name="gregreg" localSheetId="2">#REF!</definedName>
    <definedName name="gregreg">#REF!</definedName>
    <definedName name="hasTranspVO">'[4]Общие сведения'!$J$138</definedName>
    <definedName name="hasTranspVS">'[4]Общие сведения'!$I$138</definedName>
    <definedName name="hasVO">'[4]Общие сведения'!$H$138</definedName>
    <definedName name="hasVS">'[4]Общие сведения'!$G$138</definedName>
    <definedName name="isFIRST_PERIOD">[2]Титульный!$AD$61</definedName>
    <definedName name="last_year_vis">'[5]Общие сведения'!$J$9</definedName>
    <definedName name="List01_flag_index_1">#REF!</definedName>
    <definedName name="List01_flag_index_2">#REF!</definedName>
    <definedName name="logic" localSheetId="2">#REF!</definedName>
    <definedName name="logic">#REF!</definedName>
    <definedName name="mo" localSheetId="2">[6]Титульный!$F$23</definedName>
    <definedName name="mo">[7]Титульный!$F$22</definedName>
    <definedName name="MO_LIST_9">[7]REESTR_MO!$B$52:$B$65</definedName>
    <definedName name="mr" localSheetId="2">[6]Титульный!$F$21</definedName>
    <definedName name="mr">[7]Титульный!$F$20</definedName>
    <definedName name="MR_LIST" localSheetId="2">[6]REESTR_MO!$D$2:$D$46</definedName>
    <definedName name="MR_LIST" localSheetId="5">[7]REESTR_MO!$D$2:$D$46</definedName>
    <definedName name="MR_LIST" localSheetId="6">[7]REESTR_MO!$D$2:$D$46</definedName>
    <definedName name="MR_LIST">[8]REESTR_MO!$D$2:$D$46</definedName>
    <definedName name="mreg" localSheetId="2">#REF!</definedName>
    <definedName name="mreg">[7]Титульный!#REF!</definedName>
    <definedName name="org">[2]Титульный!$AD$19</definedName>
    <definedName name="osn_expl_list">[3]TEHSHEET!$X$2:$X$14</definedName>
    <definedName name="p1_rst_1">[9]Лист2!$A$1</definedName>
    <definedName name="PERIOD_LENGTH">'[3]Общие сведения'!$H$10</definedName>
    <definedName name="plat_nds">'[10]Общие сведения'!$H$41</definedName>
    <definedName name="region_name" localSheetId="2">[2]Титульный!$AD$11</definedName>
    <definedName name="region_name">[11]Титульный!$AD$11</definedName>
    <definedName name="REGULATION_METHODS" localSheetId="2">[2]Титульный!$AD$62</definedName>
    <definedName name="REGULATION_METHODS">[11]Титульный!$AD$62</definedName>
    <definedName name="REPORT_OWNER">[2]Титульный!$AD$13</definedName>
    <definedName name="SCOPE_16_PRT" localSheetId="2">P1_SCOPE_16_PRT,P2_SCOPE_16_PRT</definedName>
    <definedName name="SCOPE_16_PRT" localSheetId="6">P1_SCOPE_16_PRT,P2_SCOPE_16_PRT</definedName>
    <definedName name="SCOPE_16_PRT">P1_SCOPE_16_PRT,P2_SCOPE_16_PRT</definedName>
    <definedName name="SCOPE_PER_PRT" localSheetId="2">P5_SCOPE_PER_PRT,P6_SCOPE_PER_PRT,P7_SCOPE_PER_PRT,P8_SCOPE_PER_PRT</definedName>
    <definedName name="SCOPE_PER_PRT" localSheetId="6">P5_SCOPE_PER_PRT,P6_SCOPE_PER_PRT,P7_SCOPE_PER_PRT,P8_SCOPE_PER_PRT</definedName>
    <definedName name="SCOPE_PER_PRT">P5_SCOPE_PER_PRT,P6_SCOPE_PER_PRT,P7_SCOPE_PER_PRT,P8_SCOPE_PER_PRT</definedName>
    <definedName name="SCOPE_SV_PRT" localSheetId="2">P1_SCOPE_SV_PRT,P2_SCOPE_SV_PRT,P3_SCOPE_SV_PRT</definedName>
    <definedName name="SCOPE_SV_PRT" localSheetId="6">P1_SCOPE_SV_PRT,P2_SCOPE_SV_PRT,P3_SCOPE_SV_PRT</definedName>
    <definedName name="SCOPE_SV_PRT">P1_SCOPE_SV_PRT,P2_SCOPE_SV_PRT,P3_SCOPE_SV_PRT</definedName>
    <definedName name="SETTING_COUNT_YEAR_TITLE">'[2]Общие настройки'!$G$107</definedName>
    <definedName name="SPHERE_MULTI">[2]Тарифы!$AB$87</definedName>
    <definedName name="spr_np" localSheetId="2">#REF!</definedName>
    <definedName name="spr_np" localSheetId="6">#REF!</definedName>
    <definedName name="spr_np">#REF!</definedName>
    <definedName name="support_docs_list">[3]TEHSHEET!$X$17:$X$36</definedName>
    <definedName name="T2_DiapProt" localSheetId="2">P1_T2_DiapProt,P2_T2_DiapProt</definedName>
    <definedName name="T2_DiapProt" localSheetId="6">P1_T2_DiapProt,P2_T2_DiapProt</definedName>
    <definedName name="T2_DiapProt">P1_T2_DiapProt,P2_T2_DiapProt</definedName>
    <definedName name="T6_Protect" localSheetId="2">P1_T6_Protect,P2_T6_Protect</definedName>
    <definedName name="T6_Protect" localSheetId="6">P1_T6_Protect,P2_T6_Protect</definedName>
    <definedName name="T6_Protect">P1_T6_Protect,P2_T6_Protect</definedName>
    <definedName name="tariftype" localSheetId="2">[6]Титульный!$F$5</definedName>
    <definedName name="tariftype" localSheetId="5">[7]Титульный!$F$4</definedName>
    <definedName name="tariftype" localSheetId="6">[7]Титульный!$F$4</definedName>
    <definedName name="tariftype">[8]Титульный!$F$5</definedName>
    <definedName name="tpl_title">'[5]Общие сведения'!$O$17</definedName>
    <definedName name="TYPE">[2]Титульный!$AD$71</definedName>
    <definedName name="type_sh" localSheetId="2">#REF!</definedName>
    <definedName name="type_sh" localSheetId="6">#REF!</definedName>
    <definedName name="type_sh">#REF!</definedName>
    <definedName name="version" localSheetId="2">[6]Инструкция!$G$3</definedName>
    <definedName name="version" localSheetId="6">#REF!</definedName>
    <definedName name="version">#REF!</definedName>
    <definedName name="version_PP">[2]TECHSHEET!$DG$2:$DG$3</definedName>
    <definedName name="vid_top" localSheetId="2">#REF!</definedName>
    <definedName name="vid_top" localSheetId="6">#REF!</definedName>
    <definedName name="vid_top">#REF!</definedName>
    <definedName name="VOLTAGE_LEVEL_list">[10]TEHSHEET!$Y$2:$Y$7</definedName>
    <definedName name="year" localSheetId="2">[6]Титульный!$F$10</definedName>
    <definedName name="year" localSheetId="1">[8]Титульный!$F$10</definedName>
    <definedName name="year">[7]Титульный!$F$9</definedName>
    <definedName name="year_list" localSheetId="2">[6]TEHSHEET!$I$1:$I$15</definedName>
    <definedName name="year_list" localSheetId="5">[7]TEHSHEET!$I$1:$I$15</definedName>
    <definedName name="year_list" localSheetId="6">[7]TEHSHEET!$I$1:$I$15</definedName>
    <definedName name="year_list">[8]TEHSHEET!$I$1:$I$15</definedName>
    <definedName name="а" localSheetId="2">P1_T2_DiapProt,P2_T2_DiapProt</definedName>
    <definedName name="а">P1_T2_DiapProt,P2_T2_DiapProt</definedName>
    <definedName name="апиаи">'[10]Общие сведения'!$J$9</definedName>
    <definedName name="вмвм">'[10]Общие сведения'!$J$9</definedName>
    <definedName name="врватв">'[10]Общие сведения'!$O$17</definedName>
    <definedName name="вриар">'[3]Общие сведения'!$O$17</definedName>
    <definedName name="глнл">'[10]Общие сведения'!$H$8</definedName>
    <definedName name="д" localSheetId="2">#REF!</definedName>
    <definedName name="д">#REF!</definedName>
    <definedName name="епаапп">'[10]Общие сведения'!$J$9</definedName>
    <definedName name="епоот">'[10]Общие сведения'!$H$8</definedName>
    <definedName name="_xlnm.Print_Titles" localSheetId="1">'Корректировка тарифа'!$12:$14</definedName>
    <definedName name="ираис">'[10]Общие сведения'!$O$17</definedName>
    <definedName name="керет">'[10]Общие сведения'!$J$9</definedName>
    <definedName name="кунркуркур">'[3]Общие сведения'!$O$17</definedName>
    <definedName name="л" localSheetId="2">#REF!</definedName>
    <definedName name="л">#REF!</definedName>
    <definedName name="л." localSheetId="2">#REF!</definedName>
    <definedName name="л." localSheetId="6">#REF!</definedName>
    <definedName name="л.">#REF!</definedName>
    <definedName name="лрлрл">'[10]Общие сведения'!$J$9</definedName>
    <definedName name="мпывмы">'[10]Общие сведения'!$H$8</definedName>
    <definedName name="неоь">'[10]Общие сведения'!$J$9</definedName>
    <definedName name="ннкуго" localSheetId="2">P1_T2_DiapProt,P2_T2_DiapProt</definedName>
    <definedName name="ннкуго" localSheetId="6">P1_T2_DiapProt,P2_T2_DiapProt</definedName>
    <definedName name="ннкуго">P1_T2_DiapProt,P2_T2_DiapProt</definedName>
    <definedName name="ншлнлр">'[10]Общие сведения'!$J$9</definedName>
    <definedName name="о" localSheetId="2">#REF!</definedName>
    <definedName name="о">#REF!</definedName>
    <definedName name="_xlnm.Print_Area" localSheetId="2">' кор ПП(к реш'!$E$1:$M$97</definedName>
    <definedName name="оепаоо">'[10]Общие сведения'!$H$8</definedName>
    <definedName name="оноо">'[10]Общие сведения'!$J$9</definedName>
    <definedName name="опо">'[10]Общие сведения'!$H$8</definedName>
    <definedName name="П12556" localSheetId="2">P6_T2.1?Protection</definedName>
    <definedName name="П12556" localSheetId="6">P6_T2.1?Protection</definedName>
    <definedName name="П12556">P6_T2.1?Protection</definedName>
    <definedName name="паапш" localSheetId="2">P1_T25?Data,P2_T25?Data</definedName>
    <definedName name="паапш" localSheetId="6">P1_T25?Data,P2_T25?Data</definedName>
    <definedName name="паапш">P1_T25?Data,P2_T25?Data</definedName>
    <definedName name="Перечень" localSheetId="2">'[12]3.6.1.'!#REF!</definedName>
    <definedName name="Перечень" localSheetId="6">'[13]3.6.1.'!#REF!</definedName>
    <definedName name="Перечень">'[13]3.6.1.'!#REF!</definedName>
    <definedName name="пиаипаи">'[10]Общие сведения'!$O$17</definedName>
    <definedName name="пррпрт">'[10]Общие сведения'!$O$17</definedName>
    <definedName name="птпрпрнр">'[10]Общие сведения'!$O$17</definedName>
    <definedName name="р" localSheetId="2">P1_T25?Data,P2_T25?Data</definedName>
    <definedName name="р">P1_T25?Data,P2_T25?Data</definedName>
    <definedName name="рвартврт">'[10]Общие сведения'!$J$9</definedName>
    <definedName name="рвравр">'[10]Общие сведения'!$J$9</definedName>
    <definedName name="ревуив">'[10]Общие сведения'!$H$8</definedName>
    <definedName name="риваа">'[10]Общие сведения'!$H$8</definedName>
    <definedName name="ртапоть">'[10]Общие сведения'!$O$17</definedName>
    <definedName name="ртррекр">'[10]Общие сведения'!$H$8</definedName>
    <definedName name="сатичич">'[10]Общие сведения'!$H$8</definedName>
    <definedName name="Т2" localSheetId="2">P1_T2_DiapProt,P2_T2_DiapProt</definedName>
    <definedName name="Т2" localSheetId="6">P1_T2_DiapProt,P2_T2_DiapProt</definedName>
    <definedName name="Т2">P1_T2_DiapProt,P2_T2_DiapProt</definedName>
    <definedName name="траптап">'[10]Общие сведения'!$H$8</definedName>
    <definedName name="укаука">'[4]Общие сведения'!$O$17</definedName>
    <definedName name="умуам">'[4]Общие сведения'!$H$8</definedName>
    <definedName name="ч" localSheetId="2">P6_T2.1?Protection</definedName>
    <definedName name="ч">P6_T2.1?Protection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8" i="9" l="1"/>
  <c r="S19" i="9"/>
  <c r="O20" i="9"/>
  <c r="P20" i="9"/>
  <c r="Q20" i="9"/>
  <c r="S20" i="9"/>
  <c r="R21" i="9"/>
  <c r="R22" i="9"/>
  <c r="R23" i="9"/>
  <c r="O24" i="9"/>
  <c r="S24" i="9"/>
  <c r="R25" i="9"/>
  <c r="R27" i="9"/>
  <c r="O28" i="9"/>
  <c r="Q28" i="9"/>
  <c r="S28" i="9"/>
  <c r="R29" i="9"/>
  <c r="R30" i="9"/>
  <c r="R31" i="9"/>
  <c r="R32" i="9"/>
  <c r="P33" i="9"/>
  <c r="P28" i="9" s="1"/>
  <c r="R33" i="9"/>
  <c r="R34" i="9"/>
  <c r="R35" i="9"/>
  <c r="O36" i="9"/>
  <c r="P36" i="9"/>
  <c r="Q36" i="9"/>
  <c r="S36" i="9"/>
  <c r="R37" i="9"/>
  <c r="R38" i="9"/>
  <c r="R39" i="9"/>
  <c r="R40" i="9"/>
  <c r="O43" i="9"/>
  <c r="O42" i="9" s="1"/>
  <c r="P43" i="9"/>
  <c r="Q43" i="9"/>
  <c r="R43" i="9" s="1"/>
  <c r="S43" i="9"/>
  <c r="R44" i="9"/>
  <c r="R45" i="9"/>
  <c r="R46" i="9"/>
  <c r="R47" i="9"/>
  <c r="R48" i="9"/>
  <c r="R49" i="9"/>
  <c r="R50" i="9"/>
  <c r="O51" i="9"/>
  <c r="S51" i="9"/>
  <c r="S42" i="9" s="1"/>
  <c r="P52" i="9"/>
  <c r="R52" i="9" s="1"/>
  <c r="R54" i="9"/>
  <c r="R55" i="9"/>
  <c r="R56" i="9"/>
  <c r="R57" i="9"/>
  <c r="O58" i="9"/>
  <c r="P58" i="9"/>
  <c r="Q58" i="9"/>
  <c r="S58" i="9"/>
  <c r="R59" i="9"/>
  <c r="R60" i="9"/>
  <c r="R61" i="9"/>
  <c r="R62" i="9"/>
  <c r="R63" i="9"/>
  <c r="O64" i="9"/>
  <c r="P64" i="9"/>
  <c r="Q64" i="9"/>
  <c r="R64" i="9" s="1"/>
  <c r="S64" i="9"/>
  <c r="R74" i="9"/>
  <c r="R75" i="9"/>
  <c r="R90" i="9"/>
  <c r="R92" i="9"/>
  <c r="R93" i="9"/>
  <c r="R94" i="9"/>
  <c r="R95" i="9"/>
  <c r="R96" i="9"/>
  <c r="O97" i="9"/>
  <c r="P97" i="9"/>
  <c r="R97" i="9" s="1"/>
  <c r="Q97" i="9"/>
  <c r="S97" i="9"/>
  <c r="AN97" i="9" s="1"/>
  <c r="T97" i="9"/>
  <c r="U97" i="9"/>
  <c r="V97" i="9"/>
  <c r="W97" i="9"/>
  <c r="X97" i="9"/>
  <c r="Y97" i="9"/>
  <c r="Z97" i="9"/>
  <c r="AA97" i="9"/>
  <c r="AB97" i="9"/>
  <c r="AC97" i="9"/>
  <c r="AD97" i="9"/>
  <c r="AO97" i="9" s="1"/>
  <c r="R98" i="9"/>
  <c r="R99" i="9"/>
  <c r="R100" i="9"/>
  <c r="O104" i="9"/>
  <c r="S104" i="9"/>
  <c r="T104" i="9"/>
  <c r="U104" i="9"/>
  <c r="V104" i="9"/>
  <c r="W104" i="9"/>
  <c r="AD104" i="9"/>
  <c r="R108" i="9"/>
  <c r="R109" i="9"/>
  <c r="O110" i="9"/>
  <c r="Q110" i="9" s="1"/>
  <c r="R110" i="9" s="1"/>
  <c r="R112" i="9"/>
  <c r="R113" i="9"/>
  <c r="R114" i="9"/>
  <c r="R115" i="9"/>
  <c r="R116" i="9"/>
  <c r="R117" i="9"/>
  <c r="P118" i="9"/>
  <c r="Q118" i="9"/>
  <c r="R118" i="9" s="1"/>
  <c r="X118" i="9"/>
  <c r="Y118" i="9"/>
  <c r="Z118" i="9"/>
  <c r="AA118" i="9"/>
  <c r="AB118" i="9"/>
  <c r="AC118" i="9"/>
  <c r="R119" i="9"/>
  <c r="R120" i="9"/>
  <c r="R121" i="9"/>
  <c r="R122" i="9"/>
  <c r="R123" i="9"/>
  <c r="R127" i="9"/>
  <c r="R128" i="9"/>
  <c r="R131" i="9"/>
  <c r="T131" i="9"/>
  <c r="O134" i="9"/>
  <c r="S134" i="9"/>
  <c r="U134" i="9"/>
  <c r="V134" i="9"/>
  <c r="W134" i="9"/>
  <c r="X134" i="9"/>
  <c r="Y134" i="9"/>
  <c r="Z134" i="9"/>
  <c r="AA134" i="9"/>
  <c r="AB134" i="9"/>
  <c r="AC134" i="9"/>
  <c r="O139" i="9"/>
  <c r="O141" i="9" s="1"/>
  <c r="P139" i="9"/>
  <c r="R139" i="9" s="1"/>
  <c r="Q139" i="9"/>
  <c r="T139" i="9"/>
  <c r="Q141" i="9"/>
  <c r="AM260" i="9"/>
  <c r="AL260" i="9"/>
  <c r="AK260" i="9"/>
  <c r="AJ260" i="9"/>
  <c r="AI260" i="9"/>
  <c r="AH260" i="9"/>
  <c r="AG260" i="9"/>
  <c r="AF260" i="9"/>
  <c r="AE260" i="9"/>
  <c r="AR244" i="9"/>
  <c r="AQ244" i="9"/>
  <c r="AP244" i="9"/>
  <c r="AO244" i="9"/>
  <c r="AN244" i="9"/>
  <c r="AM244" i="9"/>
  <c r="AL244" i="9"/>
  <c r="AW244" i="9" s="1"/>
  <c r="AK244" i="9"/>
  <c r="AV244" i="9" s="1"/>
  <c r="AJ244" i="9"/>
  <c r="AU244" i="9" s="1"/>
  <c r="AI244" i="9"/>
  <c r="AT244" i="9" s="1"/>
  <c r="AH244" i="9"/>
  <c r="AS244" i="9" s="1"/>
  <c r="AW236" i="9"/>
  <c r="AV236" i="9"/>
  <c r="AU236" i="9"/>
  <c r="AT236" i="9"/>
  <c r="AS236" i="9"/>
  <c r="AR236" i="9"/>
  <c r="AQ236" i="9"/>
  <c r="AP236" i="9"/>
  <c r="AO236" i="9"/>
  <c r="AN236" i="9"/>
  <c r="AW235" i="9"/>
  <c r="AV235" i="9"/>
  <c r="AU235" i="9"/>
  <c r="AT235" i="9"/>
  <c r="AS235" i="9"/>
  <c r="AR235" i="9"/>
  <c r="AQ235" i="9"/>
  <c r="AP235" i="9"/>
  <c r="AO235" i="9"/>
  <c r="AN235" i="9"/>
  <c r="AW234" i="9"/>
  <c r="AV234" i="9"/>
  <c r="AU234" i="9"/>
  <c r="AT234" i="9"/>
  <c r="AS234" i="9"/>
  <c r="AR234" i="9"/>
  <c r="AQ234" i="9"/>
  <c r="AP234" i="9"/>
  <c r="AO234" i="9"/>
  <c r="AN234" i="9"/>
  <c r="AR233" i="9"/>
  <c r="AQ233" i="9"/>
  <c r="AP233" i="9"/>
  <c r="AO233" i="9"/>
  <c r="AN233" i="9"/>
  <c r="AR232" i="9"/>
  <c r="AQ232" i="9"/>
  <c r="AP232" i="9"/>
  <c r="AO232" i="9"/>
  <c r="AN232" i="9"/>
  <c r="AR231" i="9"/>
  <c r="AQ231" i="9"/>
  <c r="AP231" i="9"/>
  <c r="AO231" i="9"/>
  <c r="AN231" i="9"/>
  <c r="AG230" i="9"/>
  <c r="AR230" i="9" s="1"/>
  <c r="AF230" i="9"/>
  <c r="AQ230" i="9" s="1"/>
  <c r="AE230" i="9"/>
  <c r="AP230" i="9" s="1"/>
  <c r="AO230" i="9"/>
  <c r="AN230" i="9"/>
  <c r="AR229" i="9"/>
  <c r="AQ229" i="9"/>
  <c r="AP229" i="9"/>
  <c r="AO229" i="9"/>
  <c r="AN229" i="9"/>
  <c r="AW226" i="9"/>
  <c r="AV226" i="9"/>
  <c r="AU226" i="9"/>
  <c r="AT226" i="9"/>
  <c r="AS226" i="9"/>
  <c r="AR226" i="9"/>
  <c r="AQ226" i="9"/>
  <c r="AP226" i="9"/>
  <c r="AO226" i="9"/>
  <c r="AN226" i="9"/>
  <c r="AW225" i="9"/>
  <c r="AV225" i="9"/>
  <c r="AU225" i="9"/>
  <c r="AT225" i="9"/>
  <c r="AS225" i="9"/>
  <c r="AR225" i="9"/>
  <c r="AQ225" i="9"/>
  <c r="AP225" i="9"/>
  <c r="AO225" i="9"/>
  <c r="AN225" i="9"/>
  <c r="AW224" i="9"/>
  <c r="AV224" i="9"/>
  <c r="AU224" i="9"/>
  <c r="AT224" i="9"/>
  <c r="AS224" i="9"/>
  <c r="AR224" i="9"/>
  <c r="AQ224" i="9"/>
  <c r="AP224" i="9"/>
  <c r="AO224" i="9"/>
  <c r="AN224" i="9"/>
  <c r="AT223" i="9"/>
  <c r="AM223" i="9"/>
  <c r="AL223" i="9"/>
  <c r="AW223" i="9" s="1"/>
  <c r="AK223" i="9"/>
  <c r="AV223" i="9" s="1"/>
  <c r="AJ223" i="9"/>
  <c r="AU223" i="9" s="1"/>
  <c r="AI223" i="9"/>
  <c r="AH223" i="9"/>
  <c r="AS223" i="9" s="1"/>
  <c r="AG223" i="9"/>
  <c r="AR223" i="9" s="1"/>
  <c r="AF223" i="9"/>
  <c r="AQ223" i="9" s="1"/>
  <c r="AE223" i="9"/>
  <c r="AP223" i="9" s="1"/>
  <c r="AO223" i="9"/>
  <c r="AN223" i="9"/>
  <c r="AW222" i="9"/>
  <c r="AV222" i="9"/>
  <c r="AU222" i="9"/>
  <c r="AT222" i="9"/>
  <c r="AS222" i="9"/>
  <c r="AR222" i="9"/>
  <c r="AQ222" i="9"/>
  <c r="AP222" i="9"/>
  <c r="AO222" i="9"/>
  <c r="AN222" i="9"/>
  <c r="AW221" i="9"/>
  <c r="AV221" i="9"/>
  <c r="AU221" i="9"/>
  <c r="AT221" i="9"/>
  <c r="AS221" i="9"/>
  <c r="AR221" i="9"/>
  <c r="AQ221" i="9"/>
  <c r="AP221" i="9"/>
  <c r="AO221" i="9"/>
  <c r="AN221" i="9"/>
  <c r="AR220" i="9"/>
  <c r="AQ220" i="9"/>
  <c r="AP220" i="9"/>
  <c r="AO220" i="9"/>
  <c r="AN220" i="9"/>
  <c r="AW219" i="9"/>
  <c r="AV219" i="9"/>
  <c r="AU219" i="9"/>
  <c r="AT219" i="9"/>
  <c r="AS219" i="9"/>
  <c r="AR219" i="9"/>
  <c r="AQ219" i="9"/>
  <c r="AP219" i="9"/>
  <c r="AO219" i="9"/>
  <c r="AN219" i="9"/>
  <c r="AW218" i="9"/>
  <c r="AV218" i="9"/>
  <c r="AU218" i="9"/>
  <c r="AT218" i="9"/>
  <c r="AS218" i="9"/>
  <c r="AR218" i="9"/>
  <c r="AQ218" i="9"/>
  <c r="AP218" i="9"/>
  <c r="AO218" i="9"/>
  <c r="AN218" i="9"/>
  <c r="AW216" i="9"/>
  <c r="AV216" i="9"/>
  <c r="AU216" i="9"/>
  <c r="AT216" i="9"/>
  <c r="AS216" i="9"/>
  <c r="AR216" i="9"/>
  <c r="AQ216" i="9"/>
  <c r="AP216" i="9"/>
  <c r="AO216" i="9"/>
  <c r="AN216" i="9"/>
  <c r="AR213" i="9"/>
  <c r="AQ213" i="9"/>
  <c r="AP213" i="9"/>
  <c r="AO213" i="9"/>
  <c r="AN213" i="9"/>
  <c r="AW201" i="9"/>
  <c r="AV201" i="9"/>
  <c r="AU201" i="9"/>
  <c r="AT201" i="9"/>
  <c r="AS201" i="9"/>
  <c r="AR201" i="9"/>
  <c r="AQ201" i="9"/>
  <c r="AP201" i="9"/>
  <c r="AO201" i="9"/>
  <c r="AN201" i="9"/>
  <c r="AW200" i="9"/>
  <c r="AV200" i="9"/>
  <c r="AU200" i="9"/>
  <c r="AT200" i="9"/>
  <c r="AS200" i="9"/>
  <c r="AR200" i="9"/>
  <c r="AQ200" i="9"/>
  <c r="AP200" i="9"/>
  <c r="AO200" i="9"/>
  <c r="AN200" i="9"/>
  <c r="AQ143" i="9"/>
  <c r="AP143" i="9"/>
  <c r="AO143" i="9"/>
  <c r="A143" i="9"/>
  <c r="A144" i="9" s="1"/>
  <c r="A145" i="9" s="1"/>
  <c r="A146" i="9" s="1"/>
  <c r="A147" i="9" s="1"/>
  <c r="A148" i="9" s="1"/>
  <c r="A149" i="9" s="1"/>
  <c r="A150" i="9" s="1"/>
  <c r="A151" i="9" s="1"/>
  <c r="A152" i="9" s="1"/>
  <c r="A153" i="9" s="1"/>
  <c r="A154" i="9" s="1"/>
  <c r="A155" i="9" s="1"/>
  <c r="A156" i="9" s="1"/>
  <c r="A157" i="9" s="1"/>
  <c r="A158" i="9" s="1"/>
  <c r="A159" i="9" s="1"/>
  <c r="A160" i="9" s="1"/>
  <c r="A161" i="9" s="1"/>
  <c r="A162" i="9" s="1"/>
  <c r="A163" i="9" s="1"/>
  <c r="A164" i="9" s="1"/>
  <c r="A165" i="9" s="1"/>
  <c r="A166" i="9" s="1"/>
  <c r="A167" i="9" s="1"/>
  <c r="A168" i="9" s="1"/>
  <c r="A169" i="9" s="1"/>
  <c r="A170" i="9" s="1"/>
  <c r="A171" i="9" s="1"/>
  <c r="A172" i="9" s="1"/>
  <c r="A173" i="9" s="1"/>
  <c r="A174" i="9" s="1"/>
  <c r="A175" i="9" s="1"/>
  <c r="A176" i="9" s="1"/>
  <c r="A177" i="9" s="1"/>
  <c r="A178" i="9" s="1"/>
  <c r="A179" i="9" s="1"/>
  <c r="A180" i="9" s="1"/>
  <c r="A181" i="9" s="1"/>
  <c r="A182" i="9" s="1"/>
  <c r="A183" i="9" s="1"/>
  <c r="A184" i="9" s="1"/>
  <c r="A185" i="9" s="1"/>
  <c r="A186" i="9" s="1"/>
  <c r="A187" i="9" s="1"/>
  <c r="A188" i="9" s="1"/>
  <c r="A189" i="9" s="1"/>
  <c r="A190" i="9" s="1"/>
  <c r="A191" i="9" s="1"/>
  <c r="A192" i="9" s="1"/>
  <c r="L142" i="9"/>
  <c r="D142" i="9"/>
  <c r="C242" i="9" s="1"/>
  <c r="B142" i="9"/>
  <c r="A142" i="9"/>
  <c r="AM134" i="9"/>
  <c r="AL134" i="9"/>
  <c r="AK134" i="9"/>
  <c r="AJ134" i="9"/>
  <c r="AI134" i="9"/>
  <c r="AH134" i="9"/>
  <c r="AG134" i="9"/>
  <c r="AF134" i="9"/>
  <c r="AE134" i="9"/>
  <c r="AS118" i="9"/>
  <c r="AR118" i="9"/>
  <c r="AQ118" i="9"/>
  <c r="AP118" i="9"/>
  <c r="AO118" i="9"/>
  <c r="AN118" i="9"/>
  <c r="AM118" i="9"/>
  <c r="AL118" i="9"/>
  <c r="AW118" i="9" s="1"/>
  <c r="AK118" i="9"/>
  <c r="AV118" i="9" s="1"/>
  <c r="AJ118" i="9"/>
  <c r="AU118" i="9" s="1"/>
  <c r="AI118" i="9"/>
  <c r="AT118" i="9" s="1"/>
  <c r="AH118" i="9"/>
  <c r="AW110" i="9"/>
  <c r="AV110" i="9"/>
  <c r="AU110" i="9"/>
  <c r="AT110" i="9"/>
  <c r="AS110" i="9"/>
  <c r="AR110" i="9"/>
  <c r="AQ110" i="9"/>
  <c r="AP110" i="9"/>
  <c r="AO110" i="9"/>
  <c r="AN110" i="9"/>
  <c r="AW109" i="9"/>
  <c r="AV109" i="9"/>
  <c r="AU109" i="9"/>
  <c r="AT109" i="9"/>
  <c r="AS109" i="9"/>
  <c r="AR109" i="9"/>
  <c r="AQ109" i="9"/>
  <c r="AP109" i="9"/>
  <c r="AO109" i="9"/>
  <c r="AN109" i="9"/>
  <c r="AW108" i="9"/>
  <c r="AV108" i="9"/>
  <c r="AU108" i="9"/>
  <c r="AT108" i="9"/>
  <c r="AS108" i="9"/>
  <c r="AR108" i="9"/>
  <c r="AQ108" i="9"/>
  <c r="AP108" i="9"/>
  <c r="AO108" i="9"/>
  <c r="AN108" i="9"/>
  <c r="AR107" i="9"/>
  <c r="AQ107" i="9"/>
  <c r="AP107" i="9"/>
  <c r="AO107" i="9"/>
  <c r="AN107" i="9"/>
  <c r="AR106" i="9"/>
  <c r="AQ106" i="9"/>
  <c r="AP106" i="9"/>
  <c r="AO106" i="9"/>
  <c r="AN106" i="9"/>
  <c r="AR105" i="9"/>
  <c r="AQ105" i="9"/>
  <c r="AP105" i="9"/>
  <c r="AO105" i="9"/>
  <c r="AN105" i="9"/>
  <c r="AR104" i="9"/>
  <c r="AN104" i="9"/>
  <c r="AG104" i="9"/>
  <c r="AF104" i="9"/>
  <c r="AQ104" i="9" s="1"/>
  <c r="AE104" i="9"/>
  <c r="AP104" i="9" s="1"/>
  <c r="AO104" i="9"/>
  <c r="AR103" i="9"/>
  <c r="AQ103" i="9"/>
  <c r="AP103" i="9"/>
  <c r="AO103" i="9"/>
  <c r="AN103" i="9"/>
  <c r="AW100" i="9"/>
  <c r="AV100" i="9"/>
  <c r="AU100" i="9"/>
  <c r="AT100" i="9"/>
  <c r="AS100" i="9"/>
  <c r="AR100" i="9"/>
  <c r="AQ100" i="9"/>
  <c r="AP100" i="9"/>
  <c r="AO100" i="9"/>
  <c r="AN100" i="9"/>
  <c r="AW99" i="9"/>
  <c r="AV99" i="9"/>
  <c r="AU99" i="9"/>
  <c r="AT99" i="9"/>
  <c r="AS99" i="9"/>
  <c r="AR99" i="9"/>
  <c r="AQ99" i="9"/>
  <c r="AP99" i="9"/>
  <c r="AO99" i="9"/>
  <c r="AN99" i="9"/>
  <c r="AW98" i="9"/>
  <c r="AV98" i="9"/>
  <c r="AU98" i="9"/>
  <c r="AT98" i="9"/>
  <c r="AS98" i="9"/>
  <c r="AR98" i="9"/>
  <c r="AQ98" i="9"/>
  <c r="AP98" i="9"/>
  <c r="AO98" i="9"/>
  <c r="AN98" i="9"/>
  <c r="AS97" i="9"/>
  <c r="AM97" i="9"/>
  <c r="AL97" i="9"/>
  <c r="AW97" i="9" s="1"/>
  <c r="AK97" i="9"/>
  <c r="AV97" i="9" s="1"/>
  <c r="AJ97" i="9"/>
  <c r="AU97" i="9" s="1"/>
  <c r="AI97" i="9"/>
  <c r="AT97" i="9" s="1"/>
  <c r="AH97" i="9"/>
  <c r="AG97" i="9"/>
  <c r="AR97" i="9" s="1"/>
  <c r="AF97" i="9"/>
  <c r="AQ97" i="9" s="1"/>
  <c r="AE97" i="9"/>
  <c r="AP97" i="9" s="1"/>
  <c r="AW96" i="9"/>
  <c r="AV96" i="9"/>
  <c r="AU96" i="9"/>
  <c r="AT96" i="9"/>
  <c r="AS96" i="9"/>
  <c r="AR96" i="9"/>
  <c r="AQ96" i="9"/>
  <c r="AP96" i="9"/>
  <c r="AO96" i="9"/>
  <c r="AN96" i="9"/>
  <c r="AW95" i="9"/>
  <c r="AV95" i="9"/>
  <c r="AU95" i="9"/>
  <c r="AT95" i="9"/>
  <c r="AS95" i="9"/>
  <c r="AR95" i="9"/>
  <c r="AQ95" i="9"/>
  <c r="AP95" i="9"/>
  <c r="AO95" i="9"/>
  <c r="AN95" i="9"/>
  <c r="AR94" i="9"/>
  <c r="AQ94" i="9"/>
  <c r="AP94" i="9"/>
  <c r="AO94" i="9"/>
  <c r="AN94" i="9"/>
  <c r="AW93" i="9"/>
  <c r="AV93" i="9"/>
  <c r="AU93" i="9"/>
  <c r="AT93" i="9"/>
  <c r="AS93" i="9"/>
  <c r="AR93" i="9"/>
  <c r="AQ93" i="9"/>
  <c r="AP93" i="9"/>
  <c r="AO93" i="9"/>
  <c r="AN93" i="9"/>
  <c r="AW92" i="9"/>
  <c r="AV92" i="9"/>
  <c r="AU92" i="9"/>
  <c r="AT92" i="9"/>
  <c r="AS92" i="9"/>
  <c r="AR92" i="9"/>
  <c r="AQ92" i="9"/>
  <c r="AP92" i="9"/>
  <c r="AO92" i="9"/>
  <c r="AN92" i="9"/>
  <c r="AW90" i="9"/>
  <c r="AV90" i="9"/>
  <c r="AU90" i="9"/>
  <c r="AT90" i="9"/>
  <c r="AS90" i="9"/>
  <c r="AR90" i="9"/>
  <c r="AQ90" i="9"/>
  <c r="AP90" i="9"/>
  <c r="AO90" i="9"/>
  <c r="AN90" i="9"/>
  <c r="AR87" i="9"/>
  <c r="AQ87" i="9"/>
  <c r="AP87" i="9"/>
  <c r="AO87" i="9"/>
  <c r="AN87" i="9"/>
  <c r="AW75" i="9"/>
  <c r="AV75" i="9"/>
  <c r="AU75" i="9"/>
  <c r="AT75" i="9"/>
  <c r="AS75" i="9"/>
  <c r="AR75" i="9"/>
  <c r="AQ75" i="9"/>
  <c r="AP75" i="9"/>
  <c r="AO75" i="9"/>
  <c r="AN75" i="9"/>
  <c r="AW74" i="9"/>
  <c r="AV74" i="9"/>
  <c r="AU74" i="9"/>
  <c r="AT74" i="9"/>
  <c r="AS74" i="9"/>
  <c r="AR74" i="9"/>
  <c r="AQ74" i="9"/>
  <c r="AP74" i="9"/>
  <c r="AO74" i="9"/>
  <c r="AN74" i="9"/>
  <c r="AQ17" i="9"/>
  <c r="AP17" i="9"/>
  <c r="AO17" i="9"/>
  <c r="D16" i="9"/>
  <c r="B16" i="9"/>
  <c r="A16" i="9"/>
  <c r="A17" i="9" s="1"/>
  <c r="A18" i="9" s="1"/>
  <c r="AW14" i="9"/>
  <c r="AV14" i="9"/>
  <c r="AU14" i="9"/>
  <c r="AT14" i="9"/>
  <c r="AS14" i="9"/>
  <c r="AR14" i="9"/>
  <c r="AQ14" i="9"/>
  <c r="AP14" i="9"/>
  <c r="AO14" i="9"/>
  <c r="AV7" i="9"/>
  <c r="AR7" i="9"/>
  <c r="AJ7" i="9"/>
  <c r="X7" i="9"/>
  <c r="AM3" i="9"/>
  <c r="AM144" i="9" s="1"/>
  <c r="AJ3" i="9"/>
  <c r="AE3" i="9"/>
  <c r="X3" i="9"/>
  <c r="W3" i="9"/>
  <c r="O3" i="9"/>
  <c r="AM2" i="9"/>
  <c r="AL2" i="9"/>
  <c r="AK2" i="9"/>
  <c r="AJ2" i="9"/>
  <c r="AI2" i="9"/>
  <c r="AH2" i="9"/>
  <c r="AG2" i="9"/>
  <c r="AF2" i="9"/>
  <c r="AE2" i="9"/>
  <c r="AD2" i="9"/>
  <c r="AC2" i="9"/>
  <c r="AB2" i="9"/>
  <c r="AA2" i="9"/>
  <c r="Z2" i="9"/>
  <c r="Y2" i="9"/>
  <c r="X2" i="9"/>
  <c r="W2" i="9"/>
  <c r="V2" i="9"/>
  <c r="U2" i="9"/>
  <c r="T2" i="9"/>
  <c r="S2" i="9"/>
  <c r="R2" i="9"/>
  <c r="Q2" i="9"/>
  <c r="P2" i="9"/>
  <c r="P3" i="9" s="1"/>
  <c r="O2" i="9"/>
  <c r="AW1" i="9"/>
  <c r="AW7" i="9" s="1"/>
  <c r="AV1" i="9"/>
  <c r="AU1" i="9"/>
  <c r="AU7" i="9" s="1"/>
  <c r="AT1" i="9"/>
  <c r="AT7" i="9" s="1"/>
  <c r="AS1" i="9"/>
  <c r="AS7" i="9" s="1"/>
  <c r="AR1" i="9"/>
  <c r="AQ1" i="9"/>
  <c r="AQ7" i="9" s="1"/>
  <c r="AP1" i="9"/>
  <c r="AP7" i="9" s="1"/>
  <c r="AO1" i="9"/>
  <c r="AO7" i="9" s="1"/>
  <c r="AN1" i="9"/>
  <c r="AN7" i="9" s="1"/>
  <c r="AM1" i="9"/>
  <c r="AM7" i="9" s="1"/>
  <c r="AL1" i="9"/>
  <c r="AL3" i="9" s="1"/>
  <c r="AL144" i="9" s="1"/>
  <c r="AK1" i="9"/>
  <c r="AK3" i="9" s="1"/>
  <c r="AJ1" i="9"/>
  <c r="AI1" i="9"/>
  <c r="AI3" i="9" s="1"/>
  <c r="AH1" i="9"/>
  <c r="AH7" i="9" s="1"/>
  <c r="AG1" i="9"/>
  <c r="AG7" i="9" s="1"/>
  <c r="AF1" i="9"/>
  <c r="AF3" i="9" s="1"/>
  <c r="AE1" i="9"/>
  <c r="AE7" i="9" s="1"/>
  <c r="AD1" i="9"/>
  <c r="AD3" i="9" s="1"/>
  <c r="AC1" i="9"/>
  <c r="AC3" i="9" s="1"/>
  <c r="AB1" i="9"/>
  <c r="AB7" i="9" s="1"/>
  <c r="AA1" i="9"/>
  <c r="AA3" i="9" s="1"/>
  <c r="Z1" i="9"/>
  <c r="Z7" i="9" s="1"/>
  <c r="Y1" i="9"/>
  <c r="Y7" i="9" s="1"/>
  <c r="X1" i="9"/>
  <c r="W1" i="9"/>
  <c r="W7" i="9" s="1"/>
  <c r="V1" i="9"/>
  <c r="V3" i="9" s="1"/>
  <c r="U1" i="9"/>
  <c r="U3" i="9" s="1"/>
  <c r="T1" i="9"/>
  <c r="T7" i="9" s="1"/>
  <c r="S1" i="9"/>
  <c r="S3" i="9" s="1"/>
  <c r="R1" i="9"/>
  <c r="R3" i="9" s="1"/>
  <c r="Q1" i="9"/>
  <c r="P1" i="9"/>
  <c r="O1" i="9"/>
  <c r="A19" i="9" l="1"/>
  <c r="A20" i="9" s="1"/>
  <c r="A21" i="9" s="1"/>
  <c r="A22" i="9" s="1"/>
  <c r="A23" i="9" s="1"/>
  <c r="A24" i="9" s="1"/>
  <c r="A25" i="9" s="1"/>
  <c r="A26" i="9" s="1"/>
  <c r="X18" i="9"/>
  <c r="X17" i="9" s="1"/>
  <c r="Y17" i="9" s="1"/>
  <c r="Y18" i="9"/>
  <c r="Z18" i="9"/>
  <c r="AA18" i="9"/>
  <c r="AB18" i="9"/>
  <c r="AC18" i="9"/>
  <c r="AM18" i="9"/>
  <c r="S17" i="9"/>
  <c r="AD18" i="9" s="1"/>
  <c r="R36" i="9"/>
  <c r="R20" i="9"/>
  <c r="R58" i="9"/>
  <c r="O19" i="9"/>
  <c r="O17" i="9" s="1"/>
  <c r="R28" i="9"/>
  <c r="P141" i="9"/>
  <c r="R141" i="9" s="1"/>
  <c r="AB3" i="9"/>
  <c r="Q3" i="9"/>
  <c r="AF7" i="9"/>
  <c r="AA7" i="9"/>
  <c r="AI7" i="9"/>
  <c r="D192" i="9"/>
  <c r="A193" i="9"/>
  <c r="A194" i="9" s="1"/>
  <c r="A195" i="9" s="1"/>
  <c r="AJ144" i="9"/>
  <c r="AJ18" i="9"/>
  <c r="AI144" i="9"/>
  <c r="AI18" i="9"/>
  <c r="AK144" i="9"/>
  <c r="AK18" i="9"/>
  <c r="T3" i="9"/>
  <c r="AL18" i="9"/>
  <c r="Y3" i="9"/>
  <c r="AG3" i="9"/>
  <c r="U7" i="9"/>
  <c r="AC7" i="9"/>
  <c r="AK7" i="9"/>
  <c r="Z3" i="9"/>
  <c r="AH3" i="9"/>
  <c r="V7" i="9"/>
  <c r="AD7" i="9"/>
  <c r="AL7" i="9"/>
  <c r="C127" i="9"/>
  <c r="C128" i="9"/>
  <c r="L16" i="9"/>
  <c r="C115" i="9"/>
  <c r="C116" i="9"/>
  <c r="C254" i="9"/>
  <c r="C253" i="9"/>
  <c r="C241" i="9"/>
  <c r="T175" i="2"/>
  <c r="A27" i="9" l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P26" i="9"/>
  <c r="P24" i="9" s="1"/>
  <c r="P19" i="9" s="1"/>
  <c r="P17" i="9" s="1"/>
  <c r="Q26" i="9"/>
  <c r="Z17" i="9"/>
  <c r="AN17" i="9"/>
  <c r="AN143" i="9"/>
  <c r="AM195" i="9"/>
  <c r="AE195" i="9"/>
  <c r="AK195" i="9"/>
  <c r="AJ195" i="9"/>
  <c r="A196" i="9"/>
  <c r="AL195" i="9"/>
  <c r="AI195" i="9"/>
  <c r="AG195" i="9"/>
  <c r="AF195" i="9"/>
  <c r="AH195" i="9"/>
  <c r="AH144" i="9"/>
  <c r="AH143" i="9" s="1"/>
  <c r="AH18" i="9"/>
  <c r="AH17" i="9" s="1"/>
  <c r="J81" i="8"/>
  <c r="I81" i="8"/>
  <c r="L82" i="8"/>
  <c r="L79" i="8"/>
  <c r="L76" i="8"/>
  <c r="K82" i="8"/>
  <c r="K79" i="8"/>
  <c r="K76" i="8"/>
  <c r="M65" i="8"/>
  <c r="L65" i="8"/>
  <c r="M66" i="8" s="1"/>
  <c r="J23" i="8"/>
  <c r="J21" i="8"/>
  <c r="G86" i="8"/>
  <c r="G85" i="8"/>
  <c r="G84" i="8"/>
  <c r="J82" i="8"/>
  <c r="I82" i="8"/>
  <c r="G81" i="8"/>
  <c r="J79" i="8"/>
  <c r="I79" i="8"/>
  <c r="J78" i="8"/>
  <c r="I78" i="8"/>
  <c r="J77" i="8"/>
  <c r="I77" i="8"/>
  <c r="J76" i="8"/>
  <c r="I76" i="8"/>
  <c r="J75" i="8"/>
  <c r="I75" i="8"/>
  <c r="B71" i="8"/>
  <c r="B72" i="8" s="1"/>
  <c r="M68" i="8"/>
  <c r="L68" i="8"/>
  <c r="M69" i="8" s="1"/>
  <c r="K68" i="8"/>
  <c r="L69" i="8" s="1"/>
  <c r="J68" i="8"/>
  <c r="I68" i="8"/>
  <c r="J69" i="8" s="1"/>
  <c r="M63" i="8"/>
  <c r="L63" i="8"/>
  <c r="M64" i="8" s="1"/>
  <c r="K63" i="8"/>
  <c r="L64" i="8" s="1"/>
  <c r="J63" i="8"/>
  <c r="K64" i="8" s="1"/>
  <c r="I63" i="8"/>
  <c r="J64" i="8" s="1"/>
  <c r="C63" i="8"/>
  <c r="B63" i="8"/>
  <c r="B64" i="8" s="1"/>
  <c r="M61" i="8"/>
  <c r="L61" i="8"/>
  <c r="K61" i="8"/>
  <c r="J61" i="8"/>
  <c r="I61" i="8"/>
  <c r="C60" i="8"/>
  <c r="I55" i="8"/>
  <c r="J55" i="8" s="1"/>
  <c r="B54" i="8"/>
  <c r="B70" i="8" s="1"/>
  <c r="K51" i="8"/>
  <c r="K65" i="8" s="1"/>
  <c r="L66" i="8" s="1"/>
  <c r="J51" i="8"/>
  <c r="J65" i="8" s="1"/>
  <c r="K66" i="8" s="1"/>
  <c r="I51" i="8"/>
  <c r="I65" i="8" s="1"/>
  <c r="J66" i="8" s="1"/>
  <c r="C50" i="8"/>
  <c r="C49" i="8"/>
  <c r="B55" i="8" s="1"/>
  <c r="B49" i="8"/>
  <c r="B60" i="8" s="1"/>
  <c r="G44" i="8"/>
  <c r="H43" i="8"/>
  <c r="G43" i="8"/>
  <c r="M39" i="8"/>
  <c r="L39" i="8"/>
  <c r="K39" i="8"/>
  <c r="J39" i="8"/>
  <c r="I39" i="8"/>
  <c r="C39" i="8"/>
  <c r="M38" i="8"/>
  <c r="L38" i="8"/>
  <c r="K38" i="8"/>
  <c r="I38" i="8"/>
  <c r="M37" i="8"/>
  <c r="L37" i="8"/>
  <c r="K37" i="8"/>
  <c r="I37" i="8"/>
  <c r="I31" i="8"/>
  <c r="J31" i="8" s="1"/>
  <c r="I30" i="8"/>
  <c r="K30" i="8" s="1"/>
  <c r="I29" i="8"/>
  <c r="L29" i="8" s="1"/>
  <c r="B29" i="8"/>
  <c r="B30" i="8" s="1"/>
  <c r="B31" i="8" s="1"/>
  <c r="D28" i="8"/>
  <c r="B28" i="8"/>
  <c r="D27" i="8"/>
  <c r="C25" i="8"/>
  <c r="B25" i="8"/>
  <c r="B26" i="8" s="1"/>
  <c r="B27" i="8" s="1"/>
  <c r="M23" i="8"/>
  <c r="L23" i="8"/>
  <c r="K23" i="8"/>
  <c r="I23" i="8"/>
  <c r="M21" i="8"/>
  <c r="L21" i="8"/>
  <c r="K21" i="8"/>
  <c r="I21" i="8"/>
  <c r="B21" i="8"/>
  <c r="B23" i="8" s="1"/>
  <c r="B19" i="8"/>
  <c r="B18" i="8"/>
  <c r="B20" i="8" s="1"/>
  <c r="R26" i="9" l="1"/>
  <c r="Q24" i="9"/>
  <c r="A42" i="9"/>
  <c r="A43" i="9" s="1"/>
  <c r="A44" i="9" s="1"/>
  <c r="A45" i="9" s="1"/>
  <c r="A46" i="9" s="1"/>
  <c r="A47" i="9" s="1"/>
  <c r="A48" i="9" s="1"/>
  <c r="A49" i="9" s="1"/>
  <c r="A50" i="9" s="1"/>
  <c r="A51" i="9" s="1"/>
  <c r="A52" i="9" s="1"/>
  <c r="A53" i="9" s="1"/>
  <c r="P41" i="9"/>
  <c r="Q41" i="9"/>
  <c r="R41" i="9" s="1"/>
  <c r="AA17" i="9"/>
  <c r="AO195" i="9"/>
  <c r="AS195" i="9"/>
  <c r="AT195" i="9"/>
  <c r="AR195" i="9"/>
  <c r="AW195" i="9"/>
  <c r="AS17" i="9"/>
  <c r="AR17" i="9"/>
  <c r="AI17" i="9"/>
  <c r="AI196" i="9"/>
  <c r="AT196" i="9" s="1"/>
  <c r="AN196" i="9"/>
  <c r="AG196" i="9"/>
  <c r="AR196" i="9" s="1"/>
  <c r="AF196" i="9"/>
  <c r="AQ196" i="9" s="1"/>
  <c r="AM196" i="9"/>
  <c r="AL196" i="9"/>
  <c r="AW196" i="9" s="1"/>
  <c r="AJ196" i="9"/>
  <c r="AU196" i="9" s="1"/>
  <c r="AH196" i="9"/>
  <c r="AS196" i="9" s="1"/>
  <c r="AK196" i="9"/>
  <c r="AV196" i="9" s="1"/>
  <c r="AE196" i="9"/>
  <c r="AP196" i="9" s="1"/>
  <c r="AO196" i="9"/>
  <c r="A197" i="9"/>
  <c r="AV195" i="9"/>
  <c r="AS143" i="9"/>
  <c r="AI143" i="9"/>
  <c r="AR143" i="9"/>
  <c r="AQ195" i="9"/>
  <c r="AP195" i="9"/>
  <c r="AU195" i="9"/>
  <c r="AN195" i="9"/>
  <c r="M62" i="8"/>
  <c r="J62" i="8"/>
  <c r="K62" i="8"/>
  <c r="I64" i="8"/>
  <c r="L62" i="8"/>
  <c r="K69" i="8"/>
  <c r="B50" i="8"/>
  <c r="B61" i="8" s="1"/>
  <c r="B62" i="8" s="1"/>
  <c r="M29" i="8"/>
  <c r="J71" i="8"/>
  <c r="K55" i="8"/>
  <c r="J30" i="8"/>
  <c r="L31" i="8"/>
  <c r="J29" i="8"/>
  <c r="L30" i="8"/>
  <c r="B53" i="8"/>
  <c r="K31" i="8"/>
  <c r="I28" i="8"/>
  <c r="K29" i="8"/>
  <c r="M30" i="8"/>
  <c r="B51" i="8"/>
  <c r="B65" i="8" s="1"/>
  <c r="B66" i="8" s="1"/>
  <c r="M31" i="8"/>
  <c r="I71" i="8"/>
  <c r="A54" i="9" l="1"/>
  <c r="A55" i="9" s="1"/>
  <c r="A56" i="9" s="1"/>
  <c r="A57" i="9" s="1"/>
  <c r="A58" i="9" s="1"/>
  <c r="A59" i="9" s="1"/>
  <c r="A60" i="9" s="1"/>
  <c r="A61" i="9" s="1"/>
  <c r="A62" i="9" s="1"/>
  <c r="A63" i="9" s="1"/>
  <c r="A64" i="9" s="1"/>
  <c r="A65" i="9" s="1"/>
  <c r="A66" i="9" s="1"/>
  <c r="Q53" i="9"/>
  <c r="P53" i="9"/>
  <c r="P51" i="9" s="1"/>
  <c r="P42" i="9" s="1"/>
  <c r="Q19" i="9"/>
  <c r="R24" i="9"/>
  <c r="AB17" i="9"/>
  <c r="AT17" i="9"/>
  <c r="AJ17" i="9"/>
  <c r="AT143" i="9"/>
  <c r="AJ143" i="9"/>
  <c r="AM197" i="9"/>
  <c r="AE197" i="9"/>
  <c r="AK197" i="9"/>
  <c r="AJ197" i="9"/>
  <c r="AO197" i="9"/>
  <c r="A198" i="9"/>
  <c r="AL197" i="9"/>
  <c r="AW197" i="9" s="1"/>
  <c r="AI197" i="9"/>
  <c r="AT197" i="9" s="1"/>
  <c r="AH197" i="9"/>
  <c r="AS197" i="9" s="1"/>
  <c r="AG197" i="9"/>
  <c r="AR197" i="9" s="1"/>
  <c r="AF197" i="9"/>
  <c r="J72" i="8"/>
  <c r="B52" i="8"/>
  <c r="B67" i="8" s="1"/>
  <c r="B68" i="8"/>
  <c r="B69" i="8" s="1"/>
  <c r="K71" i="8"/>
  <c r="K72" i="8" s="1"/>
  <c r="L55" i="8"/>
  <c r="L28" i="8"/>
  <c r="L27" i="8" s="1"/>
  <c r="J28" i="8"/>
  <c r="J27" i="8" s="1"/>
  <c r="I27" i="8"/>
  <c r="K28" i="8"/>
  <c r="K27" i="8" s="1"/>
  <c r="M28" i="8"/>
  <c r="M27" i="8" s="1"/>
  <c r="Q17" i="9" l="1"/>
  <c r="R17" i="9" s="1"/>
  <c r="R19" i="9"/>
  <c r="Q51" i="9"/>
  <c r="R53" i="9"/>
  <c r="D66" i="9"/>
  <c r="A67" i="9"/>
  <c r="A68" i="9" s="1"/>
  <c r="A69" i="9" s="1"/>
  <c r="AC17" i="9"/>
  <c r="AU197" i="9"/>
  <c r="AI198" i="9"/>
  <c r="AN198" i="9"/>
  <c r="AG198" i="9"/>
  <c r="AR198" i="9" s="1"/>
  <c r="AF198" i="9"/>
  <c r="AQ198" i="9" s="1"/>
  <c r="AE198" i="9"/>
  <c r="AP198" i="9" s="1"/>
  <c r="AO198" i="9"/>
  <c r="AM198" i="9"/>
  <c r="AL198" i="9"/>
  <c r="AK198" i="9"/>
  <c r="AV198" i="9" s="1"/>
  <c r="AJ198" i="9"/>
  <c r="AU198" i="9" s="1"/>
  <c r="AH198" i="9"/>
  <c r="A199" i="9"/>
  <c r="AK17" i="9"/>
  <c r="AU17" i="9"/>
  <c r="AV197" i="9"/>
  <c r="AK143" i="9"/>
  <c r="AU143" i="9"/>
  <c r="AN197" i="9"/>
  <c r="AP197" i="9"/>
  <c r="AQ197" i="9"/>
  <c r="M55" i="8"/>
  <c r="M71" i="8" s="1"/>
  <c r="L71" i="8"/>
  <c r="L72" i="8"/>
  <c r="Q42" i="9" l="1"/>
  <c r="R42" i="9" s="1"/>
  <c r="R51" i="9"/>
  <c r="T69" i="9"/>
  <c r="AB69" i="9"/>
  <c r="U69" i="9"/>
  <c r="AC69" i="9"/>
  <c r="V69" i="9"/>
  <c r="AD69" i="9"/>
  <c r="W69" i="9"/>
  <c r="S69" i="9"/>
  <c r="O69" i="9"/>
  <c r="X69" i="9"/>
  <c r="AA69" i="9"/>
  <c r="P69" i="9"/>
  <c r="Y69" i="9"/>
  <c r="Q69" i="9"/>
  <c r="Z69" i="9"/>
  <c r="A70" i="9"/>
  <c r="AE69" i="9"/>
  <c r="AP69" i="9" s="1"/>
  <c r="AL69" i="9"/>
  <c r="AW69" i="9" s="1"/>
  <c r="AG69" i="9"/>
  <c r="AR69" i="9" s="1"/>
  <c r="AF69" i="9"/>
  <c r="AQ69" i="9" s="1"/>
  <c r="AJ69" i="9"/>
  <c r="AU69" i="9" s="1"/>
  <c r="AM69" i="9"/>
  <c r="AK69" i="9"/>
  <c r="AV69" i="9" s="1"/>
  <c r="AH69" i="9"/>
  <c r="AS69" i="9" s="1"/>
  <c r="AI69" i="9"/>
  <c r="AT69" i="9" s="1"/>
  <c r="AL17" i="9"/>
  <c r="AV17" i="9"/>
  <c r="AS198" i="9"/>
  <c r="AT198" i="9"/>
  <c r="AV143" i="9"/>
  <c r="AL143" i="9"/>
  <c r="AJ199" i="9"/>
  <c r="AU199" i="9" s="1"/>
  <c r="AF199" i="9"/>
  <c r="AN199" i="9"/>
  <c r="AL199" i="9"/>
  <c r="AW199" i="9" s="1"/>
  <c r="AK199" i="9"/>
  <c r="AV199" i="9" s="1"/>
  <c r="AM199" i="9"/>
  <c r="AI199" i="9"/>
  <c r="AT199" i="9" s="1"/>
  <c r="AH199" i="9"/>
  <c r="AS199" i="9" s="1"/>
  <c r="AG199" i="9"/>
  <c r="AE199" i="9"/>
  <c r="A200" i="9"/>
  <c r="A201" i="9" s="1"/>
  <c r="A202" i="9" s="1"/>
  <c r="AW198" i="9"/>
  <c r="M72" i="8"/>
  <c r="AO69" i="9" l="1"/>
  <c r="R69" i="9"/>
  <c r="U70" i="9"/>
  <c r="AC70" i="9"/>
  <c r="V70" i="9"/>
  <c r="AD70" i="9"/>
  <c r="AO70" i="9" s="1"/>
  <c r="W70" i="9"/>
  <c r="O70" i="9"/>
  <c r="X70" i="9"/>
  <c r="AB70" i="9"/>
  <c r="P70" i="9"/>
  <c r="Y70" i="9"/>
  <c r="T70" i="9"/>
  <c r="Q70" i="9"/>
  <c r="Z70" i="9"/>
  <c r="S70" i="9"/>
  <c r="AN70" i="9" s="1"/>
  <c r="AA70" i="9"/>
  <c r="AL70" i="9"/>
  <c r="AW70" i="9" s="1"/>
  <c r="AK70" i="9"/>
  <c r="AV70" i="9" s="1"/>
  <c r="AJ70" i="9"/>
  <c r="AU70" i="9" s="1"/>
  <c r="AI70" i="9"/>
  <c r="AT70" i="9" s="1"/>
  <c r="AF70" i="9"/>
  <c r="AQ70" i="9" s="1"/>
  <c r="AG70" i="9"/>
  <c r="AR70" i="9" s="1"/>
  <c r="AM70" i="9"/>
  <c r="A71" i="9"/>
  <c r="AE70" i="9"/>
  <c r="AP70" i="9" s="1"/>
  <c r="AH70" i="9"/>
  <c r="AS70" i="9" s="1"/>
  <c r="AN69" i="9"/>
  <c r="AF202" i="9"/>
  <c r="AQ202" i="9" s="1"/>
  <c r="AL202" i="9"/>
  <c r="AW202" i="9" s="1"/>
  <c r="AO202" i="9"/>
  <c r="AJ202" i="9"/>
  <c r="AU202" i="9" s="1"/>
  <c r="AM202" i="9"/>
  <c r="AI202" i="9"/>
  <c r="AT202" i="9" s="1"/>
  <c r="AH202" i="9"/>
  <c r="AS202" i="9" s="1"/>
  <c r="AK202" i="9"/>
  <c r="AV202" i="9" s="1"/>
  <c r="AG202" i="9"/>
  <c r="AR202" i="9" s="1"/>
  <c r="AE202" i="9"/>
  <c r="AP202" i="9" s="1"/>
  <c r="A203" i="9"/>
  <c r="AM143" i="9"/>
  <c r="AW143" i="9"/>
  <c r="AR199" i="9"/>
  <c r="AO199" i="9"/>
  <c r="AQ199" i="9"/>
  <c r="AW17" i="9"/>
  <c r="AM17" i="9"/>
  <c r="AP199" i="9"/>
  <c r="I36" i="8"/>
  <c r="I40" i="8" s="1"/>
  <c r="V71" i="9" l="1"/>
  <c r="AD71" i="9"/>
  <c r="AO71" i="9" s="1"/>
  <c r="W71" i="9"/>
  <c r="O71" i="9"/>
  <c r="X71" i="9"/>
  <c r="P71" i="9"/>
  <c r="Y71" i="9"/>
  <c r="AC71" i="9"/>
  <c r="Q71" i="9"/>
  <c r="Z71" i="9"/>
  <c r="U71" i="9"/>
  <c r="S71" i="9"/>
  <c r="AA71" i="9"/>
  <c r="T71" i="9"/>
  <c r="AB71" i="9"/>
  <c r="AI71" i="9"/>
  <c r="AT71" i="9" s="1"/>
  <c r="AL71" i="9"/>
  <c r="AW71" i="9" s="1"/>
  <c r="AG71" i="9"/>
  <c r="AR71" i="9" s="1"/>
  <c r="AM71" i="9"/>
  <c r="A72" i="9"/>
  <c r="AJ71" i="9"/>
  <c r="AU71" i="9" s="1"/>
  <c r="AK71" i="9"/>
  <c r="AV71" i="9" s="1"/>
  <c r="AH71" i="9"/>
  <c r="AS71" i="9" s="1"/>
  <c r="AF71" i="9"/>
  <c r="AQ71" i="9" s="1"/>
  <c r="AE71" i="9"/>
  <c r="AP71" i="9" s="1"/>
  <c r="R70" i="9"/>
  <c r="AN202" i="9"/>
  <c r="AJ203" i="9"/>
  <c r="AU203" i="9" s="1"/>
  <c r="A204" i="9"/>
  <c r="AH203" i="9"/>
  <c r="AS203" i="9" s="1"/>
  <c r="AF203" i="9"/>
  <c r="AL203" i="9"/>
  <c r="AK203" i="9"/>
  <c r="AE203" i="9"/>
  <c r="AO203" i="9"/>
  <c r="AM203" i="9"/>
  <c r="AI203" i="9"/>
  <c r="AG203" i="9"/>
  <c r="AN203" i="9"/>
  <c r="K36" i="8"/>
  <c r="K40" i="8" s="1"/>
  <c r="AN71" i="9" l="1"/>
  <c r="R71" i="9"/>
  <c r="W72" i="9"/>
  <c r="O72" i="9"/>
  <c r="X72" i="9"/>
  <c r="P72" i="9"/>
  <c r="Y72" i="9"/>
  <c r="V72" i="9"/>
  <c r="Q72" i="9"/>
  <c r="R72" i="9" s="1"/>
  <c r="Z72" i="9"/>
  <c r="S72" i="9"/>
  <c r="AN72" i="9" s="1"/>
  <c r="AA72" i="9"/>
  <c r="AD72" i="9"/>
  <c r="T72" i="9"/>
  <c r="AB72" i="9"/>
  <c r="U72" i="9"/>
  <c r="AC72" i="9"/>
  <c r="AJ72" i="9"/>
  <c r="AU72" i="9" s="1"/>
  <c r="AF72" i="9"/>
  <c r="AQ72" i="9" s="1"/>
  <c r="AK72" i="9"/>
  <c r="AV72" i="9" s="1"/>
  <c r="AI72" i="9"/>
  <c r="AT72" i="9" s="1"/>
  <c r="A73" i="9"/>
  <c r="AM72" i="9"/>
  <c r="AG72" i="9"/>
  <c r="AR72" i="9" s="1"/>
  <c r="AH72" i="9"/>
  <c r="AS72" i="9" s="1"/>
  <c r="AE72" i="9"/>
  <c r="AP72" i="9" s="1"/>
  <c r="AL72" i="9"/>
  <c r="AW72" i="9" s="1"/>
  <c r="AR203" i="9"/>
  <c r="AV203" i="9"/>
  <c r="AQ203" i="9"/>
  <c r="AW203" i="9"/>
  <c r="AF204" i="9"/>
  <c r="AQ204" i="9" s="1"/>
  <c r="AL204" i="9"/>
  <c r="AW204" i="9" s="1"/>
  <c r="AJ204" i="9"/>
  <c r="AE204" i="9"/>
  <c r="AP204" i="9" s="1"/>
  <c r="AM204" i="9"/>
  <c r="AM194" i="9" s="1"/>
  <c r="AI204" i="9"/>
  <c r="AT204" i="9" s="1"/>
  <c r="AH204" i="9"/>
  <c r="A205" i="9"/>
  <c r="AK204" i="9"/>
  <c r="AV204" i="9" s="1"/>
  <c r="AG204" i="9"/>
  <c r="AR204" i="9" s="1"/>
  <c r="AT203" i="9"/>
  <c r="AP203" i="9"/>
  <c r="L36" i="8"/>
  <c r="L40" i="8" s="1"/>
  <c r="M36" i="8"/>
  <c r="M40" i="8" s="1"/>
  <c r="AE194" i="9" l="1"/>
  <c r="AP194" i="9" s="1"/>
  <c r="AF194" i="9"/>
  <c r="AI194" i="9"/>
  <c r="O73" i="9"/>
  <c r="X73" i="9"/>
  <c r="P73" i="9"/>
  <c r="Y73" i="9"/>
  <c r="Q73" i="9"/>
  <c r="R73" i="9" s="1"/>
  <c r="Z73" i="9"/>
  <c r="S73" i="9"/>
  <c r="AN73" i="9" s="1"/>
  <c r="AA73" i="9"/>
  <c r="W73" i="9"/>
  <c r="T73" i="9"/>
  <c r="AB73" i="9"/>
  <c r="U73" i="9"/>
  <c r="AC73" i="9"/>
  <c r="V73" i="9"/>
  <c r="AD73" i="9"/>
  <c r="AO73" i="9" s="1"/>
  <c r="AH73" i="9"/>
  <c r="AS73" i="9" s="1"/>
  <c r="AL73" i="9"/>
  <c r="AW73" i="9" s="1"/>
  <c r="AG73" i="9"/>
  <c r="AR73" i="9" s="1"/>
  <c r="AI73" i="9"/>
  <c r="AT73" i="9" s="1"/>
  <c r="AF73" i="9"/>
  <c r="AQ73" i="9" s="1"/>
  <c r="AK73" i="9"/>
  <c r="AV73" i="9" s="1"/>
  <c r="AM73" i="9"/>
  <c r="AJ73" i="9"/>
  <c r="AE73" i="9"/>
  <c r="AP73" i="9" s="1"/>
  <c r="A74" i="9"/>
  <c r="A75" i="9" s="1"/>
  <c r="A76" i="9" s="1"/>
  <c r="AO72" i="9"/>
  <c r="AO204" i="9"/>
  <c r="AQ194" i="9"/>
  <c r="A206" i="9"/>
  <c r="A207" i="9" s="1"/>
  <c r="AK194" i="9"/>
  <c r="AT194" i="9"/>
  <c r="AN204" i="9"/>
  <c r="AS204" i="9"/>
  <c r="AH194" i="9"/>
  <c r="AL194" i="9"/>
  <c r="AG194" i="9"/>
  <c r="AU204" i="9"/>
  <c r="AJ194" i="9"/>
  <c r="U124" i="2"/>
  <c r="AU73" i="9" l="1"/>
  <c r="W76" i="9"/>
  <c r="O76" i="9"/>
  <c r="X76" i="9"/>
  <c r="P76" i="9"/>
  <c r="Y76" i="9"/>
  <c r="Q76" i="9"/>
  <c r="R76" i="9" s="1"/>
  <c r="Z76" i="9"/>
  <c r="V76" i="9"/>
  <c r="S76" i="9"/>
  <c r="AN76" i="9" s="1"/>
  <c r="AA76" i="9"/>
  <c r="AD76" i="9"/>
  <c r="T76" i="9"/>
  <c r="AB76" i="9"/>
  <c r="U76" i="9"/>
  <c r="AC76" i="9"/>
  <c r="AJ76" i="9"/>
  <c r="AU76" i="9" s="1"/>
  <c r="AG76" i="9"/>
  <c r="AI76" i="9"/>
  <c r="AT76" i="9" s="1"/>
  <c r="AF76" i="9"/>
  <c r="AM76" i="9"/>
  <c r="A77" i="9"/>
  <c r="AE76" i="9"/>
  <c r="AP76" i="9" s="1"/>
  <c r="AH76" i="9"/>
  <c r="AS76" i="9" s="1"/>
  <c r="AL76" i="9"/>
  <c r="AW76" i="9" s="1"/>
  <c r="AK76" i="9"/>
  <c r="AV76" i="9" s="1"/>
  <c r="AN194" i="9"/>
  <c r="AU194" i="9"/>
  <c r="AJ207" i="9"/>
  <c r="A208" i="9"/>
  <c r="AH207" i="9"/>
  <c r="AF207" i="9"/>
  <c r="AL207" i="9"/>
  <c r="AI207" i="9"/>
  <c r="AG207" i="9"/>
  <c r="AM207" i="9"/>
  <c r="AK207" i="9"/>
  <c r="AE207" i="9"/>
  <c r="AV194" i="9"/>
  <c r="AO194" i="9"/>
  <c r="AR194" i="9"/>
  <c r="AW194" i="9"/>
  <c r="AS194" i="9"/>
  <c r="L212" i="2"/>
  <c r="L211" i="2"/>
  <c r="L213" i="2" s="1"/>
  <c r="L214" i="2" s="1"/>
  <c r="U148" i="2" s="1"/>
  <c r="AQ76" i="9" l="1"/>
  <c r="AO76" i="9"/>
  <c r="O77" i="9"/>
  <c r="X77" i="9"/>
  <c r="P77" i="9"/>
  <c r="Y77" i="9"/>
  <c r="Q77" i="9"/>
  <c r="R77" i="9" s="1"/>
  <c r="Z77" i="9"/>
  <c r="S77" i="9"/>
  <c r="AN77" i="9" s="1"/>
  <c r="AA77" i="9"/>
  <c r="W77" i="9"/>
  <c r="T77" i="9"/>
  <c r="AB77" i="9"/>
  <c r="U77" i="9"/>
  <c r="AC77" i="9"/>
  <c r="V77" i="9"/>
  <c r="AD77" i="9"/>
  <c r="AO77" i="9" s="1"/>
  <c r="AJ77" i="9"/>
  <c r="AU77" i="9" s="1"/>
  <c r="AL77" i="9"/>
  <c r="AW77" i="9" s="1"/>
  <c r="AI77" i="9"/>
  <c r="AT77" i="9" s="1"/>
  <c r="A78" i="9"/>
  <c r="AF77" i="9"/>
  <c r="AQ77" i="9" s="1"/>
  <c r="AE77" i="9"/>
  <c r="AP77" i="9" s="1"/>
  <c r="AH77" i="9"/>
  <c r="AS77" i="9" s="1"/>
  <c r="AK77" i="9"/>
  <c r="AV77" i="9" s="1"/>
  <c r="AG77" i="9"/>
  <c r="AR77" i="9" s="1"/>
  <c r="AM77" i="9"/>
  <c r="AR76" i="9"/>
  <c r="AQ207" i="9"/>
  <c r="AS207" i="9"/>
  <c r="AO207" i="9"/>
  <c r="AR207" i="9"/>
  <c r="AT207" i="9"/>
  <c r="AF208" i="9"/>
  <c r="AQ208" i="9" s="1"/>
  <c r="AL208" i="9"/>
  <c r="AW208" i="9" s="1"/>
  <c r="AO208" i="9"/>
  <c r="AJ208" i="9"/>
  <c r="AU208" i="9" s="1"/>
  <c r="A209" i="9"/>
  <c r="AK208" i="9"/>
  <c r="AV208" i="9" s="1"/>
  <c r="AI208" i="9"/>
  <c r="AT208" i="9" s="1"/>
  <c r="AH208" i="9"/>
  <c r="AS208" i="9" s="1"/>
  <c r="AG208" i="9"/>
  <c r="AR208" i="9" s="1"/>
  <c r="AE208" i="9"/>
  <c r="AP208" i="9" s="1"/>
  <c r="AN208" i="9"/>
  <c r="AM208" i="9"/>
  <c r="AN207" i="9"/>
  <c r="AW207" i="9"/>
  <c r="AV207" i="9"/>
  <c r="AP207" i="9"/>
  <c r="AU207" i="9"/>
  <c r="I171" i="3"/>
  <c r="J171" i="3" s="1"/>
  <c r="H171" i="3"/>
  <c r="G171" i="3"/>
  <c r="F171" i="3"/>
  <c r="E171" i="3"/>
  <c r="I170" i="3"/>
  <c r="J170" i="3" s="1"/>
  <c r="H170" i="3"/>
  <c r="F170" i="3"/>
  <c r="G170" i="3" s="1"/>
  <c r="E170" i="3"/>
  <c r="I169" i="3"/>
  <c r="J169" i="3" s="1"/>
  <c r="H169" i="3"/>
  <c r="F169" i="3"/>
  <c r="E169" i="3"/>
  <c r="G169" i="3" s="1"/>
  <c r="I168" i="3"/>
  <c r="H168" i="3"/>
  <c r="F168" i="3"/>
  <c r="G168" i="3" s="1"/>
  <c r="E168" i="3"/>
  <c r="P78" i="9" l="1"/>
  <c r="P68" i="9" s="1"/>
  <c r="Y78" i="9"/>
  <c r="Y68" i="9" s="1"/>
  <c r="Q78" i="9"/>
  <c r="Z78" i="9"/>
  <c r="Z68" i="9" s="1"/>
  <c r="S78" i="9"/>
  <c r="AN78" i="9" s="1"/>
  <c r="AA78" i="9"/>
  <c r="AA68" i="9" s="1"/>
  <c r="O78" i="9"/>
  <c r="O68" i="9" s="1"/>
  <c r="T78" i="9"/>
  <c r="T68" i="9" s="1"/>
  <c r="AB78" i="9"/>
  <c r="AB68" i="9" s="1"/>
  <c r="U78" i="9"/>
  <c r="U68" i="9" s="1"/>
  <c r="AC78" i="9"/>
  <c r="AC68" i="9" s="1"/>
  <c r="X78" i="9"/>
  <c r="X68" i="9" s="1"/>
  <c r="V78" i="9"/>
  <c r="V68" i="9" s="1"/>
  <c r="AD78" i="9"/>
  <c r="AO78" i="9" s="1"/>
  <c r="W78" i="9"/>
  <c r="W68" i="9" s="1"/>
  <c r="AJ78" i="9"/>
  <c r="AU78" i="9" s="1"/>
  <c r="AG78" i="9"/>
  <c r="AR78" i="9" s="1"/>
  <c r="AI78" i="9"/>
  <c r="AT78" i="9" s="1"/>
  <c r="AK78" i="9"/>
  <c r="AV78" i="9" s="1"/>
  <c r="AF78" i="9"/>
  <c r="AQ78" i="9" s="1"/>
  <c r="AM78" i="9"/>
  <c r="AM68" i="9" s="1"/>
  <c r="A79" i="9"/>
  <c r="A80" i="9" s="1"/>
  <c r="A81" i="9" s="1"/>
  <c r="AE78" i="9"/>
  <c r="AP78" i="9" s="1"/>
  <c r="AH78" i="9"/>
  <c r="AS78" i="9" s="1"/>
  <c r="AL78" i="9"/>
  <c r="AW78" i="9" s="1"/>
  <c r="AD68" i="9"/>
  <c r="AO68" i="9" s="1"/>
  <c r="AF68" i="9"/>
  <c r="AQ68" i="9" s="1"/>
  <c r="AJ209" i="9"/>
  <c r="A210" i="9"/>
  <c r="AH209" i="9"/>
  <c r="AS209" i="9" s="1"/>
  <c r="AF209" i="9"/>
  <c r="AQ209" i="9" s="1"/>
  <c r="AM209" i="9"/>
  <c r="AL209" i="9"/>
  <c r="AW209" i="9" s="1"/>
  <c r="AK209" i="9"/>
  <c r="AV209" i="9" s="1"/>
  <c r="AG209" i="9"/>
  <c r="AR209" i="9" s="1"/>
  <c r="AE209" i="9"/>
  <c r="AP209" i="9" s="1"/>
  <c r="AI209" i="9"/>
  <c r="AT209" i="9" s="1"/>
  <c r="J168" i="3"/>
  <c r="AK68" i="9" l="1"/>
  <c r="AV68" i="9" s="1"/>
  <c r="AG68" i="9"/>
  <c r="AR68" i="9" s="1"/>
  <c r="Q81" i="9"/>
  <c r="Z81" i="9"/>
  <c r="S81" i="9"/>
  <c r="AA81" i="9"/>
  <c r="T81" i="9"/>
  <c r="AB81" i="9"/>
  <c r="Y81" i="9"/>
  <c r="U81" i="9"/>
  <c r="AC81" i="9"/>
  <c r="P81" i="9"/>
  <c r="V81" i="9"/>
  <c r="AD81" i="9"/>
  <c r="W81" i="9"/>
  <c r="O81" i="9"/>
  <c r="X81" i="9"/>
  <c r="AK81" i="9"/>
  <c r="AV81" i="9" s="1"/>
  <c r="AE81" i="9"/>
  <c r="AP81" i="9" s="1"/>
  <c r="AJ81" i="9"/>
  <c r="AU81" i="9" s="1"/>
  <c r="AL81" i="9"/>
  <c r="AW81" i="9" s="1"/>
  <c r="AI81" i="9"/>
  <c r="AT81" i="9" s="1"/>
  <c r="A82" i="9"/>
  <c r="AH81" i="9"/>
  <c r="AS81" i="9" s="1"/>
  <c r="AG81" i="9"/>
  <c r="AR81" i="9" s="1"/>
  <c r="AF81" i="9"/>
  <c r="AQ81" i="9" s="1"/>
  <c r="AM81" i="9"/>
  <c r="AE68" i="9"/>
  <c r="AP68" i="9" s="1"/>
  <c r="AL68" i="9"/>
  <c r="AW68" i="9" s="1"/>
  <c r="AJ68" i="9"/>
  <c r="AU68" i="9" s="1"/>
  <c r="S68" i="9"/>
  <c r="AN68" i="9" s="1"/>
  <c r="R78" i="9"/>
  <c r="Q68" i="9"/>
  <c r="R68" i="9" s="1"/>
  <c r="AI68" i="9"/>
  <c r="AT68" i="9" s="1"/>
  <c r="AH68" i="9"/>
  <c r="AS68" i="9" s="1"/>
  <c r="AN209" i="9"/>
  <c r="AO209" i="9"/>
  <c r="AU209" i="9"/>
  <c r="AF210" i="9"/>
  <c r="AL210" i="9"/>
  <c r="AO210" i="9"/>
  <c r="AJ210" i="9"/>
  <c r="AU210" i="9" s="1"/>
  <c r="AG210" i="9"/>
  <c r="AR210" i="9" s="1"/>
  <c r="AN210" i="9"/>
  <c r="A211" i="9"/>
  <c r="AE210" i="9"/>
  <c r="AM210" i="9"/>
  <c r="AK210" i="9"/>
  <c r="AV210" i="9" s="1"/>
  <c r="AI210" i="9"/>
  <c r="AT210" i="9" s="1"/>
  <c r="AH210" i="9"/>
  <c r="AS210" i="9" s="1"/>
  <c r="W175" i="2"/>
  <c r="U174" i="2"/>
  <c r="S82" i="9" l="1"/>
  <c r="AN82" i="9" s="1"/>
  <c r="AA82" i="9"/>
  <c r="T82" i="9"/>
  <c r="AB82" i="9"/>
  <c r="U82" i="9"/>
  <c r="AC82" i="9"/>
  <c r="Z82" i="9"/>
  <c r="V82" i="9"/>
  <c r="AD82" i="9"/>
  <c r="AO82" i="9" s="1"/>
  <c r="W82" i="9"/>
  <c r="Q82" i="9"/>
  <c r="O82" i="9"/>
  <c r="X82" i="9"/>
  <c r="P82" i="9"/>
  <c r="Y82" i="9"/>
  <c r="AK82" i="9"/>
  <c r="AV82" i="9" s="1"/>
  <c r="A83" i="9"/>
  <c r="AJ82" i="9"/>
  <c r="AU82" i="9" s="1"/>
  <c r="AF82" i="9"/>
  <c r="AQ82" i="9" s="1"/>
  <c r="AM82" i="9"/>
  <c r="AH82" i="9"/>
  <c r="AS82" i="9" s="1"/>
  <c r="AL82" i="9"/>
  <c r="AW82" i="9" s="1"/>
  <c r="AG82" i="9"/>
  <c r="AR82" i="9" s="1"/>
  <c r="AI82" i="9"/>
  <c r="AT82" i="9" s="1"/>
  <c r="AE82" i="9"/>
  <c r="AP82" i="9" s="1"/>
  <c r="AN81" i="9"/>
  <c r="R81" i="9"/>
  <c r="AO81" i="9"/>
  <c r="AW210" i="9"/>
  <c r="AP210" i="9"/>
  <c r="AQ210" i="9"/>
  <c r="AJ211" i="9"/>
  <c r="AU211" i="9" s="1"/>
  <c r="A212" i="9"/>
  <c r="AH211" i="9"/>
  <c r="AS211" i="9" s="1"/>
  <c r="AF211" i="9"/>
  <c r="AQ211" i="9" s="1"/>
  <c r="AI211" i="9"/>
  <c r="AT211" i="9" s="1"/>
  <c r="AE211" i="9"/>
  <c r="AP211" i="9" s="1"/>
  <c r="AN211" i="9"/>
  <c r="AO211" i="9"/>
  <c r="AK211" i="9"/>
  <c r="AV211" i="9" s="1"/>
  <c r="AM211" i="9"/>
  <c r="AL211" i="9"/>
  <c r="AW211" i="9" s="1"/>
  <c r="AG211" i="9"/>
  <c r="AR211" i="9" s="1"/>
  <c r="R78" i="2"/>
  <c r="R82" i="9" l="1"/>
  <c r="T83" i="9"/>
  <c r="AB83" i="9"/>
  <c r="U83" i="9"/>
  <c r="AC83" i="9"/>
  <c r="V83" i="9"/>
  <c r="AD83" i="9"/>
  <c r="AA83" i="9"/>
  <c r="W83" i="9"/>
  <c r="S83" i="9"/>
  <c r="O83" i="9"/>
  <c r="X83" i="9"/>
  <c r="P83" i="9"/>
  <c r="Y83" i="9"/>
  <c r="Q83" i="9"/>
  <c r="Z83" i="9"/>
  <c r="AG83" i="9"/>
  <c r="AR83" i="9" s="1"/>
  <c r="AI83" i="9"/>
  <c r="AT83" i="9" s="1"/>
  <c r="AE83" i="9"/>
  <c r="AP83" i="9" s="1"/>
  <c r="AM83" i="9"/>
  <c r="A84" i="9"/>
  <c r="AF83" i="9"/>
  <c r="AQ83" i="9" s="1"/>
  <c r="AK83" i="9"/>
  <c r="AV83" i="9" s="1"/>
  <c r="AL83" i="9"/>
  <c r="AW83" i="9" s="1"/>
  <c r="AH83" i="9"/>
  <c r="AS83" i="9" s="1"/>
  <c r="AJ83" i="9"/>
  <c r="AU83" i="9" s="1"/>
  <c r="AF212" i="9"/>
  <c r="AQ212" i="9" s="1"/>
  <c r="AL212" i="9"/>
  <c r="AW212" i="9" s="1"/>
  <c r="AO212" i="9"/>
  <c r="AJ212" i="9"/>
  <c r="AU212" i="9" s="1"/>
  <c r="A213" i="9"/>
  <c r="AK212" i="9"/>
  <c r="AH212" i="9"/>
  <c r="AG212" i="9"/>
  <c r="AR212" i="9" s="1"/>
  <c r="AN212" i="9"/>
  <c r="AI212" i="9"/>
  <c r="AE212" i="9"/>
  <c r="AP212" i="9" s="1"/>
  <c r="AM212" i="9"/>
  <c r="W164" i="2"/>
  <c r="V22" i="2"/>
  <c r="K148" i="2"/>
  <c r="J21" i="2"/>
  <c r="AN83" i="9" l="1"/>
  <c r="R83" i="9"/>
  <c r="AO83" i="9"/>
  <c r="U84" i="9"/>
  <c r="AC84" i="9"/>
  <c r="V84" i="9"/>
  <c r="AD84" i="9"/>
  <c r="W84" i="9"/>
  <c r="O84" i="9"/>
  <c r="X84" i="9"/>
  <c r="AB84" i="9"/>
  <c r="P84" i="9"/>
  <c r="Y84" i="9"/>
  <c r="T84" i="9"/>
  <c r="Q84" i="9"/>
  <c r="R84" i="9" s="1"/>
  <c r="Z84" i="9"/>
  <c r="S84" i="9"/>
  <c r="AN84" i="9" s="1"/>
  <c r="AA84" i="9"/>
  <c r="AM84" i="9"/>
  <c r="AH84" i="9"/>
  <c r="AS84" i="9" s="1"/>
  <c r="AG84" i="9"/>
  <c r="AR84" i="9" s="1"/>
  <c r="AF84" i="9"/>
  <c r="AQ84" i="9" s="1"/>
  <c r="AE84" i="9"/>
  <c r="AP84" i="9" s="1"/>
  <c r="AK84" i="9"/>
  <c r="AV84" i="9" s="1"/>
  <c r="AL84" i="9"/>
  <c r="AW84" i="9" s="1"/>
  <c r="AJ84" i="9"/>
  <c r="AU84" i="9" s="1"/>
  <c r="AI84" i="9"/>
  <c r="AT84" i="9" s="1"/>
  <c r="A85" i="9"/>
  <c r="AT212" i="9"/>
  <c r="AS212" i="9"/>
  <c r="AV212" i="9"/>
  <c r="AL213" i="9"/>
  <c r="AJ213" i="9"/>
  <c r="AU213" i="9" s="1"/>
  <c r="A214" i="9"/>
  <c r="AH213" i="9"/>
  <c r="AS213" i="9" s="1"/>
  <c r="AK213" i="9"/>
  <c r="AV213" i="9" s="1"/>
  <c r="AI213" i="9"/>
  <c r="AT213" i="9" s="1"/>
  <c r="AM213" i="9"/>
  <c r="J74" i="2"/>
  <c r="AA74" i="2"/>
  <c r="AO84" i="9" l="1"/>
  <c r="V85" i="9"/>
  <c r="AD85" i="9"/>
  <c r="AO85" i="9" s="1"/>
  <c r="W85" i="9"/>
  <c r="O85" i="9"/>
  <c r="X85" i="9"/>
  <c r="U85" i="9"/>
  <c r="AC85" i="9"/>
  <c r="P85" i="9"/>
  <c r="Y85" i="9"/>
  <c r="Q85" i="9"/>
  <c r="R85" i="9" s="1"/>
  <c r="Z85" i="9"/>
  <c r="S85" i="9"/>
  <c r="AN85" i="9" s="1"/>
  <c r="AA85" i="9"/>
  <c r="T85" i="9"/>
  <c r="AB85" i="9"/>
  <c r="AJ85" i="9"/>
  <c r="AU85" i="9" s="1"/>
  <c r="A86" i="9"/>
  <c r="AG85" i="9"/>
  <c r="AR85" i="9" s="1"/>
  <c r="AE85" i="9"/>
  <c r="AP85" i="9" s="1"/>
  <c r="AI85" i="9"/>
  <c r="AT85" i="9" s="1"/>
  <c r="AM85" i="9"/>
  <c r="AF85" i="9"/>
  <c r="AQ85" i="9" s="1"/>
  <c r="AL85" i="9"/>
  <c r="AW85" i="9" s="1"/>
  <c r="AK85" i="9"/>
  <c r="AV85" i="9" s="1"/>
  <c r="AH85" i="9"/>
  <c r="AS85" i="9" s="1"/>
  <c r="AW213" i="9"/>
  <c r="AH214" i="9"/>
  <c r="AS214" i="9" s="1"/>
  <c r="AF214" i="9"/>
  <c r="AM214" i="9"/>
  <c r="AE214" i="9"/>
  <c r="AO214" i="9" s="1"/>
  <c r="AL214" i="9"/>
  <c r="AW214" i="9" s="1"/>
  <c r="AK214" i="9"/>
  <c r="AV214" i="9" s="1"/>
  <c r="AI214" i="9"/>
  <c r="AT214" i="9" s="1"/>
  <c r="A215" i="9"/>
  <c r="AG214" i="9"/>
  <c r="AR214" i="9" s="1"/>
  <c r="AN214" i="9"/>
  <c r="AJ214" i="9"/>
  <c r="AU214" i="9" s="1"/>
  <c r="U137" i="2"/>
  <c r="AQ214" i="9" l="1"/>
  <c r="W86" i="9"/>
  <c r="O86" i="9"/>
  <c r="X86" i="9"/>
  <c r="P86" i="9"/>
  <c r="Y86" i="9"/>
  <c r="Q86" i="9"/>
  <c r="R86" i="9" s="1"/>
  <c r="Z86" i="9"/>
  <c r="AD86" i="9"/>
  <c r="AO86" i="9" s="1"/>
  <c r="S86" i="9"/>
  <c r="AN86" i="9" s="1"/>
  <c r="AA86" i="9"/>
  <c r="V86" i="9"/>
  <c r="T86" i="9"/>
  <c r="AB86" i="9"/>
  <c r="U86" i="9"/>
  <c r="AC86" i="9"/>
  <c r="AJ86" i="9"/>
  <c r="AU86" i="9" s="1"/>
  <c r="AI86" i="9"/>
  <c r="AT86" i="9" s="1"/>
  <c r="A87" i="9"/>
  <c r="AH86" i="9"/>
  <c r="AS86" i="9" s="1"/>
  <c r="AG86" i="9"/>
  <c r="AR86" i="9" s="1"/>
  <c r="AM86" i="9"/>
  <c r="AF86" i="9"/>
  <c r="AQ86" i="9" s="1"/>
  <c r="AE86" i="9"/>
  <c r="AP86" i="9" s="1"/>
  <c r="AK86" i="9"/>
  <c r="AV86" i="9" s="1"/>
  <c r="AL86" i="9"/>
  <c r="AW86" i="9" s="1"/>
  <c r="AM215" i="9"/>
  <c r="AM206" i="9" s="1"/>
  <c r="AE215" i="9"/>
  <c r="AK215" i="9"/>
  <c r="AJ215" i="9"/>
  <c r="AI215" i="9"/>
  <c r="AL215" i="9"/>
  <c r="A216" i="9"/>
  <c r="A217" i="9" s="1"/>
  <c r="AH215" i="9"/>
  <c r="AG215" i="9"/>
  <c r="AF215" i="9"/>
  <c r="AP214" i="9"/>
  <c r="V159" i="3"/>
  <c r="V158" i="3"/>
  <c r="V157" i="3"/>
  <c r="V156" i="3"/>
  <c r="V155" i="3"/>
  <c r="V154" i="3"/>
  <c r="V153" i="3"/>
  <c r="V152" i="3"/>
  <c r="V151" i="3"/>
  <c r="V150" i="3"/>
  <c r="V149" i="3"/>
  <c r="V148" i="3"/>
  <c r="V147" i="3"/>
  <c r="V146" i="3"/>
  <c r="V145" i="3"/>
  <c r="P87" i="9" l="1"/>
  <c r="AC87" i="9"/>
  <c r="Q87" i="9"/>
  <c r="AB87" i="9"/>
  <c r="X87" i="9"/>
  <c r="Y87" i="9"/>
  <c r="Z87" i="9"/>
  <c r="AA87" i="9"/>
  <c r="AM87" i="9"/>
  <c r="AL87" i="9"/>
  <c r="AW87" i="9" s="1"/>
  <c r="AK87" i="9"/>
  <c r="AV87" i="9" s="1"/>
  <c r="AJ87" i="9"/>
  <c r="AU87" i="9" s="1"/>
  <c r="AI87" i="9"/>
  <c r="AT87" i="9" s="1"/>
  <c r="A88" i="9"/>
  <c r="AH87" i="9"/>
  <c r="AS87" i="9" s="1"/>
  <c r="AV215" i="9"/>
  <c r="AK206" i="9"/>
  <c r="AV206" i="9" s="1"/>
  <c r="AS215" i="9"/>
  <c r="AH206" i="9"/>
  <c r="AS206" i="9" s="1"/>
  <c r="AP215" i="9"/>
  <c r="AE206" i="9"/>
  <c r="AQ215" i="9"/>
  <c r="AF206" i="9"/>
  <c r="AM217" i="9"/>
  <c r="AE217" i="9"/>
  <c r="AP217" i="9" s="1"/>
  <c r="AK217" i="9"/>
  <c r="AV217" i="9" s="1"/>
  <c r="AJ217" i="9"/>
  <c r="AU217" i="9" s="1"/>
  <c r="AI217" i="9"/>
  <c r="AT217" i="9" s="1"/>
  <c r="AN217" i="9"/>
  <c r="AO217" i="9"/>
  <c r="AL217" i="9"/>
  <c r="AW217" i="9" s="1"/>
  <c r="AF217" i="9"/>
  <c r="AQ217" i="9" s="1"/>
  <c r="A218" i="9"/>
  <c r="A219" i="9" s="1"/>
  <c r="A220" i="9" s="1"/>
  <c r="AH217" i="9"/>
  <c r="AS217" i="9" s="1"/>
  <c r="AG217" i="9"/>
  <c r="AR217" i="9" s="1"/>
  <c r="AT215" i="9"/>
  <c r="AI206" i="9"/>
  <c r="AT206" i="9" s="1"/>
  <c r="AN215" i="9"/>
  <c r="AR215" i="9"/>
  <c r="AG206" i="9"/>
  <c r="AW215" i="9"/>
  <c r="AL206" i="9"/>
  <c r="AW206" i="9" s="1"/>
  <c r="AU215" i="9"/>
  <c r="AJ206" i="9"/>
  <c r="AU206" i="9" s="1"/>
  <c r="AO215" i="9"/>
  <c r="AO206" i="9"/>
  <c r="U106" i="2"/>
  <c r="U99" i="2"/>
  <c r="U92" i="2"/>
  <c r="U85" i="2"/>
  <c r="V88" i="9" l="1"/>
  <c r="AD88" i="9"/>
  <c r="P88" i="9"/>
  <c r="X88" i="9"/>
  <c r="Q88" i="9"/>
  <c r="R88" i="9" s="1"/>
  <c r="Y88" i="9"/>
  <c r="AC88" i="9"/>
  <c r="Z88" i="9"/>
  <c r="U88" i="9"/>
  <c r="S88" i="9"/>
  <c r="AA88" i="9"/>
  <c r="T88" i="9"/>
  <c r="AB88" i="9"/>
  <c r="O88" i="9"/>
  <c r="W88" i="9"/>
  <c r="AI88" i="9"/>
  <c r="AT88" i="9" s="1"/>
  <c r="A89" i="9"/>
  <c r="AH88" i="9"/>
  <c r="AS88" i="9" s="1"/>
  <c r="AE88" i="9"/>
  <c r="AL88" i="9"/>
  <c r="AW88" i="9" s="1"/>
  <c r="AK88" i="9"/>
  <c r="AV88" i="9" s="1"/>
  <c r="AM88" i="9"/>
  <c r="AG88" i="9"/>
  <c r="AF88" i="9"/>
  <c r="AJ88" i="9"/>
  <c r="AU88" i="9" s="1"/>
  <c r="R87" i="9"/>
  <c r="AN206" i="9"/>
  <c r="AM220" i="9"/>
  <c r="AK220" i="9"/>
  <c r="AV220" i="9" s="1"/>
  <c r="AJ220" i="9"/>
  <c r="AU220" i="9" s="1"/>
  <c r="AI220" i="9"/>
  <c r="AT220" i="9" s="1"/>
  <c r="AH220" i="9"/>
  <c r="AS220" i="9" s="1"/>
  <c r="AL220" i="9"/>
  <c r="AW220" i="9" s="1"/>
  <c r="A221" i="9"/>
  <c r="A222" i="9" s="1"/>
  <c r="A223" i="9" s="1"/>
  <c r="A224" i="9" s="1"/>
  <c r="A225" i="9" s="1"/>
  <c r="A226" i="9" s="1"/>
  <c r="A227" i="9" s="1"/>
  <c r="AR206" i="9"/>
  <c r="AP206" i="9"/>
  <c r="AQ206" i="9"/>
  <c r="Q174" i="2"/>
  <c r="P174" i="2"/>
  <c r="O174" i="2"/>
  <c r="N174" i="2"/>
  <c r="M174" i="2"/>
  <c r="L174" i="2"/>
  <c r="K174" i="2"/>
  <c r="J174" i="2"/>
  <c r="I174" i="2"/>
  <c r="H174" i="2"/>
  <c r="I167" i="2"/>
  <c r="H167" i="2"/>
  <c r="H158" i="2"/>
  <c r="H153" i="2" s="1"/>
  <c r="Q167" i="2"/>
  <c r="P167" i="2"/>
  <c r="O167" i="2"/>
  <c r="N167" i="2"/>
  <c r="M167" i="2"/>
  <c r="L167" i="2"/>
  <c r="J167" i="2"/>
  <c r="Q158" i="2"/>
  <c r="P158" i="2"/>
  <c r="O158" i="2"/>
  <c r="N158" i="2"/>
  <c r="M158" i="2"/>
  <c r="M153" i="2" s="1"/>
  <c r="L158" i="2"/>
  <c r="J158" i="2"/>
  <c r="I158" i="2"/>
  <c r="AR88" i="9" l="1"/>
  <c r="AQ88" i="9"/>
  <c r="AP88" i="9"/>
  <c r="AN88" i="9"/>
  <c r="AO88" i="9"/>
  <c r="V89" i="9"/>
  <c r="V80" i="9" s="1"/>
  <c r="AD89" i="9"/>
  <c r="P89" i="9"/>
  <c r="P80" i="9" s="1"/>
  <c r="X89" i="9"/>
  <c r="X80" i="9" s="1"/>
  <c r="U89" i="9"/>
  <c r="U80" i="9" s="1"/>
  <c r="Q89" i="9"/>
  <c r="Y89" i="9"/>
  <c r="Y80" i="9" s="1"/>
  <c r="AC89" i="9"/>
  <c r="AC80" i="9" s="1"/>
  <c r="Z89" i="9"/>
  <c r="Z80" i="9" s="1"/>
  <c r="S89" i="9"/>
  <c r="AN89" i="9" s="1"/>
  <c r="AA89" i="9"/>
  <c r="AA80" i="9" s="1"/>
  <c r="T89" i="9"/>
  <c r="T80" i="9" s="1"/>
  <c r="AB89" i="9"/>
  <c r="AB80" i="9" s="1"/>
  <c r="O89" i="9"/>
  <c r="O80" i="9" s="1"/>
  <c r="W89" i="9"/>
  <c r="W80" i="9" s="1"/>
  <c r="AI89" i="9"/>
  <c r="AT89" i="9" s="1"/>
  <c r="A90" i="9"/>
  <c r="A91" i="9" s="1"/>
  <c r="AK89" i="9"/>
  <c r="AH89" i="9"/>
  <c r="AJ89" i="9"/>
  <c r="AG89" i="9"/>
  <c r="AR89" i="9" s="1"/>
  <c r="AF89" i="9"/>
  <c r="AQ89" i="9" s="1"/>
  <c r="AM89" i="9"/>
  <c r="AM80" i="9" s="1"/>
  <c r="AL89" i="9"/>
  <c r="AW89" i="9" s="1"/>
  <c r="AE89" i="9"/>
  <c r="AP89" i="9" s="1"/>
  <c r="A228" i="9"/>
  <c r="O153" i="2"/>
  <c r="N153" i="2"/>
  <c r="I153" i="2"/>
  <c r="L153" i="2"/>
  <c r="J153" i="2"/>
  <c r="Q153" i="2"/>
  <c r="P153" i="2"/>
  <c r="L7" i="5"/>
  <c r="K7" i="5"/>
  <c r="J7" i="5"/>
  <c r="I7" i="5"/>
  <c r="O177" i="2"/>
  <c r="O178" i="2" s="1"/>
  <c r="M177" i="2"/>
  <c r="M178" i="2" s="1"/>
  <c r="L177" i="2"/>
  <c r="L178" i="2" s="1"/>
  <c r="O13" i="2"/>
  <c r="M13" i="2"/>
  <c r="L13" i="2"/>
  <c r="R24" i="2"/>
  <c r="P13" i="2"/>
  <c r="AE80" i="9" l="1"/>
  <c r="AU89" i="9"/>
  <c r="AJ80" i="9"/>
  <c r="AU80" i="9" s="1"/>
  <c r="AS89" i="9"/>
  <c r="AH80" i="9"/>
  <c r="AS80" i="9" s="1"/>
  <c r="AL80" i="9"/>
  <c r="AW80" i="9" s="1"/>
  <c r="AV89" i="9"/>
  <c r="AK80" i="9"/>
  <c r="AV80" i="9" s="1"/>
  <c r="AO89" i="9"/>
  <c r="AD80" i="9"/>
  <c r="AO80" i="9" s="1"/>
  <c r="AF80" i="9"/>
  <c r="V91" i="9"/>
  <c r="AD91" i="9"/>
  <c r="AO91" i="9" s="1"/>
  <c r="O91" i="9"/>
  <c r="X91" i="9"/>
  <c r="AC91" i="9"/>
  <c r="P91" i="9"/>
  <c r="Y91" i="9"/>
  <c r="Q91" i="9"/>
  <c r="R91" i="9" s="1"/>
  <c r="Z91" i="9"/>
  <c r="U91" i="9"/>
  <c r="S91" i="9"/>
  <c r="AN91" i="9" s="1"/>
  <c r="AA91" i="9"/>
  <c r="T91" i="9"/>
  <c r="AB91" i="9"/>
  <c r="W91" i="9"/>
  <c r="A92" i="9"/>
  <c r="A93" i="9" s="1"/>
  <c r="A94" i="9" s="1"/>
  <c r="AK91" i="9"/>
  <c r="AV91" i="9" s="1"/>
  <c r="AH91" i="9"/>
  <c r="AS91" i="9" s="1"/>
  <c r="AJ91" i="9"/>
  <c r="AU91" i="9" s="1"/>
  <c r="AG91" i="9"/>
  <c r="AR91" i="9" s="1"/>
  <c r="AF91" i="9"/>
  <c r="AQ91" i="9" s="1"/>
  <c r="AM91" i="9"/>
  <c r="AE91" i="9"/>
  <c r="AP91" i="9" s="1"/>
  <c r="AI91" i="9"/>
  <c r="AT91" i="9" s="1"/>
  <c r="AL91" i="9"/>
  <c r="AW91" i="9" s="1"/>
  <c r="AG80" i="9"/>
  <c r="AR80" i="9" s="1"/>
  <c r="S80" i="9"/>
  <c r="AN80" i="9" s="1"/>
  <c r="R89" i="9"/>
  <c r="Q80" i="9"/>
  <c r="R80" i="9" s="1"/>
  <c r="AI80" i="9"/>
  <c r="AT80" i="9" s="1"/>
  <c r="AF228" i="9"/>
  <c r="AM228" i="9"/>
  <c r="AE228" i="9"/>
  <c r="AO228" i="9" s="1"/>
  <c r="AL228" i="9"/>
  <c r="AW228" i="9" s="1"/>
  <c r="AK228" i="9"/>
  <c r="AV228" i="9" s="1"/>
  <c r="AJ228" i="9"/>
  <c r="AU228" i="9" s="1"/>
  <c r="AI228" i="9"/>
  <c r="AT228" i="9" s="1"/>
  <c r="AN228" i="9"/>
  <c r="AH228" i="9"/>
  <c r="AS228" i="9" s="1"/>
  <c r="A229" i="9"/>
  <c r="AG228" i="9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P144" i="3"/>
  <c r="P143" i="3"/>
  <c r="P142" i="3"/>
  <c r="P141" i="3"/>
  <c r="P140" i="3"/>
  <c r="P139" i="3"/>
  <c r="P138" i="3"/>
  <c r="P137" i="3"/>
  <c r="P136" i="3"/>
  <c r="P135" i="3"/>
  <c r="P134" i="3"/>
  <c r="P133" i="3"/>
  <c r="P132" i="3"/>
  <c r="P131" i="3"/>
  <c r="P130" i="3"/>
  <c r="P129" i="3"/>
  <c r="P128" i="3"/>
  <c r="P127" i="3"/>
  <c r="P126" i="3"/>
  <c r="P125" i="3"/>
  <c r="P124" i="3"/>
  <c r="P123" i="3"/>
  <c r="P122" i="3"/>
  <c r="P121" i="3"/>
  <c r="P120" i="3"/>
  <c r="P119" i="3"/>
  <c r="P118" i="3"/>
  <c r="P117" i="3"/>
  <c r="P116" i="3"/>
  <c r="P115" i="3"/>
  <c r="P114" i="3"/>
  <c r="P113" i="3"/>
  <c r="P112" i="3"/>
  <c r="P111" i="3"/>
  <c r="P110" i="3"/>
  <c r="P109" i="3"/>
  <c r="P108" i="3"/>
  <c r="P107" i="3"/>
  <c r="P106" i="3"/>
  <c r="P105" i="3"/>
  <c r="P104" i="3"/>
  <c r="P103" i="3"/>
  <c r="P102" i="3"/>
  <c r="P101" i="3"/>
  <c r="P100" i="3"/>
  <c r="P99" i="3"/>
  <c r="P98" i="3"/>
  <c r="P97" i="3"/>
  <c r="P96" i="3"/>
  <c r="P95" i="3"/>
  <c r="P94" i="3"/>
  <c r="P93" i="3"/>
  <c r="P92" i="3"/>
  <c r="P91" i="3"/>
  <c r="P90" i="3"/>
  <c r="P89" i="3"/>
  <c r="P88" i="3"/>
  <c r="P87" i="3"/>
  <c r="P86" i="3"/>
  <c r="P85" i="3"/>
  <c r="P84" i="3"/>
  <c r="P83" i="3"/>
  <c r="P82" i="3"/>
  <c r="P81" i="3"/>
  <c r="P80" i="3"/>
  <c r="P79" i="3"/>
  <c r="P78" i="3"/>
  <c r="P77" i="3"/>
  <c r="P76" i="3"/>
  <c r="P75" i="3"/>
  <c r="P74" i="3"/>
  <c r="P73" i="3"/>
  <c r="P72" i="3"/>
  <c r="P71" i="3"/>
  <c r="P70" i="3"/>
  <c r="P69" i="3"/>
  <c r="P68" i="3"/>
  <c r="P67" i="3"/>
  <c r="P66" i="3"/>
  <c r="P65" i="3"/>
  <c r="P64" i="3"/>
  <c r="P63" i="3"/>
  <c r="P62" i="3"/>
  <c r="P61" i="3"/>
  <c r="P60" i="3"/>
  <c r="P59" i="3"/>
  <c r="P58" i="3"/>
  <c r="P57" i="3"/>
  <c r="P56" i="3"/>
  <c r="P55" i="3"/>
  <c r="P54" i="3"/>
  <c r="P53" i="3"/>
  <c r="P52" i="3"/>
  <c r="P51" i="3"/>
  <c r="P50" i="3"/>
  <c r="P49" i="3"/>
  <c r="P48" i="3"/>
  <c r="P47" i="3"/>
  <c r="P46" i="3"/>
  <c r="P45" i="3"/>
  <c r="P44" i="3"/>
  <c r="P43" i="3"/>
  <c r="P42" i="3"/>
  <c r="P41" i="3"/>
  <c r="P40" i="3"/>
  <c r="P39" i="3"/>
  <c r="P38" i="3"/>
  <c r="P37" i="3"/>
  <c r="P36" i="3"/>
  <c r="P35" i="3"/>
  <c r="P34" i="3"/>
  <c r="P33" i="3"/>
  <c r="P32" i="3"/>
  <c r="P31" i="3"/>
  <c r="P30" i="3"/>
  <c r="P29" i="3"/>
  <c r="P28" i="3"/>
  <c r="P27" i="3"/>
  <c r="P26" i="3"/>
  <c r="P25" i="3"/>
  <c r="P24" i="3"/>
  <c r="P23" i="3"/>
  <c r="P22" i="3"/>
  <c r="P21" i="3"/>
  <c r="P20" i="3"/>
  <c r="P19" i="3"/>
  <c r="P18" i="3"/>
  <c r="P17" i="3"/>
  <c r="P16" i="3"/>
  <c r="P15" i="3"/>
  <c r="M144" i="3"/>
  <c r="M143" i="3"/>
  <c r="M142" i="3"/>
  <c r="M141" i="3"/>
  <c r="M140" i="3"/>
  <c r="M139" i="3"/>
  <c r="M138" i="3"/>
  <c r="M137" i="3"/>
  <c r="M136" i="3"/>
  <c r="M135" i="3"/>
  <c r="M134" i="3"/>
  <c r="M133" i="3"/>
  <c r="M132" i="3"/>
  <c r="M131" i="3"/>
  <c r="M130" i="3"/>
  <c r="M129" i="3"/>
  <c r="M128" i="3"/>
  <c r="M127" i="3"/>
  <c r="M126" i="3"/>
  <c r="M125" i="3"/>
  <c r="M124" i="3"/>
  <c r="M123" i="3"/>
  <c r="M122" i="3"/>
  <c r="M121" i="3"/>
  <c r="M120" i="3"/>
  <c r="M119" i="3"/>
  <c r="M118" i="3"/>
  <c r="M117" i="3"/>
  <c r="M116" i="3"/>
  <c r="M115" i="3"/>
  <c r="M114" i="3"/>
  <c r="M113" i="3"/>
  <c r="M112" i="3"/>
  <c r="M111" i="3"/>
  <c r="M110" i="3"/>
  <c r="M109" i="3"/>
  <c r="M108" i="3"/>
  <c r="M107" i="3"/>
  <c r="M106" i="3"/>
  <c r="M105" i="3"/>
  <c r="M104" i="3"/>
  <c r="M103" i="3"/>
  <c r="M102" i="3"/>
  <c r="M101" i="3"/>
  <c r="M100" i="3"/>
  <c r="M99" i="3"/>
  <c r="M98" i="3"/>
  <c r="M97" i="3"/>
  <c r="M96" i="3"/>
  <c r="M95" i="3"/>
  <c r="M94" i="3"/>
  <c r="M93" i="3"/>
  <c r="M92" i="3"/>
  <c r="M91" i="3"/>
  <c r="M90" i="3"/>
  <c r="M89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3" i="3"/>
  <c r="M72" i="3"/>
  <c r="M71" i="3"/>
  <c r="M70" i="3"/>
  <c r="M69" i="3"/>
  <c r="M68" i="3"/>
  <c r="M67" i="3"/>
  <c r="M66" i="3"/>
  <c r="M65" i="3"/>
  <c r="M64" i="3"/>
  <c r="M63" i="3"/>
  <c r="M62" i="3"/>
  <c r="M61" i="3"/>
  <c r="M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41" i="3"/>
  <c r="M40" i="3"/>
  <c r="M39" i="3"/>
  <c r="M38" i="3"/>
  <c r="M37" i="3"/>
  <c r="M36" i="3"/>
  <c r="M35" i="3"/>
  <c r="M34" i="3"/>
  <c r="M33" i="3"/>
  <c r="M32" i="3"/>
  <c r="M31" i="3"/>
  <c r="M30" i="3"/>
  <c r="M29" i="3"/>
  <c r="M28" i="3"/>
  <c r="M27" i="3"/>
  <c r="M26" i="3"/>
  <c r="M25" i="3"/>
  <c r="M24" i="3"/>
  <c r="M23" i="3"/>
  <c r="M22" i="3"/>
  <c r="M21" i="3"/>
  <c r="M20" i="3"/>
  <c r="M19" i="3"/>
  <c r="M18" i="3"/>
  <c r="M17" i="3"/>
  <c r="M16" i="3"/>
  <c r="M15" i="3"/>
  <c r="J144" i="3"/>
  <c r="J143" i="3"/>
  <c r="J142" i="3"/>
  <c r="J141" i="3"/>
  <c r="J140" i="3"/>
  <c r="J139" i="3"/>
  <c r="J138" i="3"/>
  <c r="J137" i="3"/>
  <c r="J136" i="3"/>
  <c r="J135" i="3"/>
  <c r="J134" i="3"/>
  <c r="J133" i="3"/>
  <c r="J132" i="3"/>
  <c r="J131" i="3"/>
  <c r="J130" i="3"/>
  <c r="J129" i="3"/>
  <c r="J128" i="3"/>
  <c r="J127" i="3"/>
  <c r="J126" i="3"/>
  <c r="J125" i="3"/>
  <c r="J124" i="3"/>
  <c r="J123" i="3"/>
  <c r="J122" i="3"/>
  <c r="J121" i="3"/>
  <c r="J120" i="3"/>
  <c r="J119" i="3"/>
  <c r="J118" i="3"/>
  <c r="J117" i="3"/>
  <c r="J116" i="3"/>
  <c r="J115" i="3"/>
  <c r="J114" i="3"/>
  <c r="J113" i="3"/>
  <c r="J112" i="3"/>
  <c r="J111" i="3"/>
  <c r="J110" i="3"/>
  <c r="J109" i="3"/>
  <c r="J108" i="3"/>
  <c r="J107" i="3"/>
  <c r="J106" i="3"/>
  <c r="J105" i="3"/>
  <c r="J104" i="3"/>
  <c r="J103" i="3"/>
  <c r="J102" i="3"/>
  <c r="J101" i="3"/>
  <c r="J100" i="3"/>
  <c r="J99" i="3"/>
  <c r="J98" i="3"/>
  <c r="J97" i="3"/>
  <c r="J96" i="3"/>
  <c r="J95" i="3"/>
  <c r="J94" i="3"/>
  <c r="J93" i="3"/>
  <c r="J92" i="3"/>
  <c r="J91" i="3"/>
  <c r="J90" i="3"/>
  <c r="J89" i="3"/>
  <c r="J88" i="3"/>
  <c r="J87" i="3"/>
  <c r="J86" i="3"/>
  <c r="J85" i="3"/>
  <c r="J84" i="3"/>
  <c r="J83" i="3"/>
  <c r="J82" i="3"/>
  <c r="J81" i="3"/>
  <c r="J80" i="3"/>
  <c r="J79" i="3"/>
  <c r="J78" i="3"/>
  <c r="J77" i="3"/>
  <c r="J76" i="3"/>
  <c r="J75" i="3"/>
  <c r="J74" i="3"/>
  <c r="J73" i="3"/>
  <c r="J72" i="3"/>
  <c r="J71" i="3"/>
  <c r="J70" i="3"/>
  <c r="J69" i="3"/>
  <c r="J68" i="3"/>
  <c r="J67" i="3"/>
  <c r="J66" i="3"/>
  <c r="J65" i="3"/>
  <c r="J64" i="3"/>
  <c r="J63" i="3"/>
  <c r="J62" i="3"/>
  <c r="J61" i="3"/>
  <c r="J60" i="3"/>
  <c r="J59" i="3"/>
  <c r="J58" i="3"/>
  <c r="J57" i="3"/>
  <c r="J56" i="3"/>
  <c r="J55" i="3"/>
  <c r="J54" i="3"/>
  <c r="J53" i="3"/>
  <c r="J52" i="3"/>
  <c r="J51" i="3"/>
  <c r="J50" i="3"/>
  <c r="J49" i="3"/>
  <c r="J48" i="3"/>
  <c r="J47" i="3"/>
  <c r="J46" i="3"/>
  <c r="J45" i="3"/>
  <c r="J44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5" i="3"/>
  <c r="G124" i="3"/>
  <c r="G123" i="3"/>
  <c r="G122" i="3"/>
  <c r="G121" i="3"/>
  <c r="G120" i="3"/>
  <c r="G119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15" i="3"/>
  <c r="S14" i="3"/>
  <c r="S13" i="3"/>
  <c r="S12" i="3"/>
  <c r="P14" i="3"/>
  <c r="P13" i="3"/>
  <c r="P12" i="3"/>
  <c r="P11" i="3"/>
  <c r="P10" i="3"/>
  <c r="P9" i="3"/>
  <c r="P8" i="3"/>
  <c r="M14" i="3"/>
  <c r="M13" i="3"/>
  <c r="M12" i="3"/>
  <c r="M11" i="3"/>
  <c r="M10" i="3"/>
  <c r="M9" i="3"/>
  <c r="M8" i="3"/>
  <c r="J14" i="3"/>
  <c r="J13" i="3"/>
  <c r="J12" i="3"/>
  <c r="J11" i="3"/>
  <c r="J10" i="3"/>
  <c r="J9" i="3"/>
  <c r="J8" i="3"/>
  <c r="G8" i="3"/>
  <c r="G9" i="3"/>
  <c r="G10" i="3"/>
  <c r="G11" i="3"/>
  <c r="G12" i="3"/>
  <c r="G13" i="3"/>
  <c r="G14" i="3"/>
  <c r="G7" i="3"/>
  <c r="F161" i="3"/>
  <c r="E161" i="3"/>
  <c r="O160" i="3"/>
  <c r="O161" i="3" s="1"/>
  <c r="N160" i="3"/>
  <c r="N161" i="3" s="1"/>
  <c r="L160" i="3"/>
  <c r="L161" i="3" s="1"/>
  <c r="K160" i="3"/>
  <c r="K161" i="3" s="1"/>
  <c r="I160" i="3"/>
  <c r="I161" i="3" s="1"/>
  <c r="H160" i="3"/>
  <c r="H161" i="3" s="1"/>
  <c r="F160" i="3"/>
  <c r="E160" i="3"/>
  <c r="R159" i="3"/>
  <c r="Q159" i="3"/>
  <c r="R158" i="3"/>
  <c r="Q158" i="3"/>
  <c r="R157" i="3"/>
  <c r="Q157" i="3"/>
  <c r="R156" i="3"/>
  <c r="Q156" i="3"/>
  <c r="R155" i="3"/>
  <c r="Q155" i="3"/>
  <c r="R154" i="3"/>
  <c r="Q154" i="3"/>
  <c r="R153" i="3"/>
  <c r="Q153" i="3"/>
  <c r="R152" i="3"/>
  <c r="Q152" i="3"/>
  <c r="R151" i="3"/>
  <c r="Q151" i="3"/>
  <c r="R150" i="3"/>
  <c r="Q150" i="3"/>
  <c r="R149" i="3"/>
  <c r="Q149" i="3"/>
  <c r="R148" i="3"/>
  <c r="Q148" i="3"/>
  <c r="R147" i="3"/>
  <c r="Q147" i="3"/>
  <c r="R146" i="3"/>
  <c r="Q146" i="3"/>
  <c r="R145" i="3"/>
  <c r="Q145" i="3"/>
  <c r="R143" i="3"/>
  <c r="U143" i="3" s="1"/>
  <c r="Q143" i="3"/>
  <c r="T143" i="3" s="1"/>
  <c r="V143" i="3" s="1"/>
  <c r="R142" i="3"/>
  <c r="U142" i="3" s="1"/>
  <c r="V142" i="3" s="1"/>
  <c r="Q142" i="3"/>
  <c r="T142" i="3" s="1"/>
  <c r="R141" i="3"/>
  <c r="U141" i="3" s="1"/>
  <c r="V141" i="3" s="1"/>
  <c r="Q141" i="3"/>
  <c r="T141" i="3" s="1"/>
  <c r="Q140" i="3"/>
  <c r="T140" i="3" s="1"/>
  <c r="R139" i="3"/>
  <c r="U139" i="3" s="1"/>
  <c r="Q139" i="3"/>
  <c r="T139" i="3" s="1"/>
  <c r="Q138" i="3"/>
  <c r="T138" i="3" s="1"/>
  <c r="R137" i="3"/>
  <c r="U137" i="3" s="1"/>
  <c r="Q137" i="3"/>
  <c r="T137" i="3" s="1"/>
  <c r="R136" i="3"/>
  <c r="U136" i="3" s="1"/>
  <c r="Q136" i="3"/>
  <c r="T136" i="3" s="1"/>
  <c r="R135" i="3"/>
  <c r="U135" i="3" s="1"/>
  <c r="Q135" i="3"/>
  <c r="T135" i="3" s="1"/>
  <c r="Q134" i="3"/>
  <c r="T134" i="3" s="1"/>
  <c r="R133" i="3"/>
  <c r="U133" i="3" s="1"/>
  <c r="Q133" i="3"/>
  <c r="T133" i="3" s="1"/>
  <c r="R132" i="3"/>
  <c r="U132" i="3" s="1"/>
  <c r="Q132" i="3"/>
  <c r="T132" i="3" s="1"/>
  <c r="R131" i="3"/>
  <c r="U131" i="3" s="1"/>
  <c r="Q131" i="3"/>
  <c r="R130" i="3"/>
  <c r="U130" i="3" s="1"/>
  <c r="Q130" i="3"/>
  <c r="T130" i="3" s="1"/>
  <c r="R129" i="3"/>
  <c r="U129" i="3" s="1"/>
  <c r="Q129" i="3"/>
  <c r="T129" i="3" s="1"/>
  <c r="V129" i="3" s="1"/>
  <c r="R128" i="3"/>
  <c r="U128" i="3" s="1"/>
  <c r="Q128" i="3"/>
  <c r="T128" i="3" s="1"/>
  <c r="Q127" i="3"/>
  <c r="T127" i="3" s="1"/>
  <c r="R126" i="3"/>
  <c r="U126" i="3" s="1"/>
  <c r="Q126" i="3"/>
  <c r="T126" i="3" s="1"/>
  <c r="R125" i="3"/>
  <c r="U125" i="3" s="1"/>
  <c r="Q125" i="3"/>
  <c r="T125" i="3" s="1"/>
  <c r="V125" i="3" s="1"/>
  <c r="R124" i="3"/>
  <c r="U124" i="3" s="1"/>
  <c r="Q124" i="3"/>
  <c r="T124" i="3" s="1"/>
  <c r="R123" i="3"/>
  <c r="U123" i="3" s="1"/>
  <c r="Q123" i="3"/>
  <c r="T123" i="3" s="1"/>
  <c r="Q122" i="3"/>
  <c r="T122" i="3" s="1"/>
  <c r="R121" i="3"/>
  <c r="U121" i="3" s="1"/>
  <c r="Q121" i="3"/>
  <c r="T121" i="3" s="1"/>
  <c r="R120" i="3"/>
  <c r="U120" i="3" s="1"/>
  <c r="Q120" i="3"/>
  <c r="T120" i="3" s="1"/>
  <c r="R119" i="3"/>
  <c r="U119" i="3" s="1"/>
  <c r="Q119" i="3"/>
  <c r="T119" i="3" s="1"/>
  <c r="R118" i="3"/>
  <c r="U118" i="3" s="1"/>
  <c r="Q118" i="3"/>
  <c r="R117" i="3"/>
  <c r="U117" i="3" s="1"/>
  <c r="Q117" i="3"/>
  <c r="T117" i="3" s="1"/>
  <c r="R116" i="3"/>
  <c r="U116" i="3" s="1"/>
  <c r="Q116" i="3"/>
  <c r="T116" i="3" s="1"/>
  <c r="V116" i="3" s="1"/>
  <c r="R115" i="3"/>
  <c r="U115" i="3" s="1"/>
  <c r="Q115" i="3"/>
  <c r="T115" i="3" s="1"/>
  <c r="Q114" i="3"/>
  <c r="T114" i="3" s="1"/>
  <c r="R113" i="3"/>
  <c r="U113" i="3" s="1"/>
  <c r="Q113" i="3"/>
  <c r="T113" i="3" s="1"/>
  <c r="R112" i="3"/>
  <c r="U112" i="3" s="1"/>
  <c r="Q112" i="3"/>
  <c r="T112" i="3" s="1"/>
  <c r="V112" i="3" s="1"/>
  <c r="R111" i="3"/>
  <c r="U111" i="3" s="1"/>
  <c r="Q111" i="3"/>
  <c r="T111" i="3" s="1"/>
  <c r="R110" i="3"/>
  <c r="U110" i="3" s="1"/>
  <c r="Q110" i="3"/>
  <c r="T110" i="3" s="1"/>
  <c r="R109" i="3"/>
  <c r="U109" i="3" s="1"/>
  <c r="Q109" i="3"/>
  <c r="T109" i="3" s="1"/>
  <c r="R108" i="3"/>
  <c r="U108" i="3" s="1"/>
  <c r="Q108" i="3"/>
  <c r="T108" i="3" s="1"/>
  <c r="V108" i="3" s="1"/>
  <c r="R107" i="3"/>
  <c r="U107" i="3" s="1"/>
  <c r="Q107" i="3"/>
  <c r="T107" i="3" s="1"/>
  <c r="V107" i="3" s="1"/>
  <c r="R106" i="3"/>
  <c r="U106" i="3" s="1"/>
  <c r="Q106" i="3"/>
  <c r="T106" i="3" s="1"/>
  <c r="R105" i="3"/>
  <c r="U105" i="3" s="1"/>
  <c r="Q105" i="3"/>
  <c r="T105" i="3" s="1"/>
  <c r="R104" i="3"/>
  <c r="U104" i="3" s="1"/>
  <c r="Q104" i="3"/>
  <c r="T104" i="3" s="1"/>
  <c r="V104" i="3" s="1"/>
  <c r="R103" i="3"/>
  <c r="U103" i="3" s="1"/>
  <c r="Q103" i="3"/>
  <c r="T103" i="3" s="1"/>
  <c r="V103" i="3" s="1"/>
  <c r="Q102" i="3"/>
  <c r="T102" i="3" s="1"/>
  <c r="Q101" i="3"/>
  <c r="T101" i="3" s="1"/>
  <c r="R100" i="3"/>
  <c r="U100" i="3" s="1"/>
  <c r="Q100" i="3"/>
  <c r="T100" i="3" s="1"/>
  <c r="R99" i="3"/>
  <c r="U99" i="3" s="1"/>
  <c r="Q99" i="3"/>
  <c r="T99" i="3" s="1"/>
  <c r="R98" i="3"/>
  <c r="U98" i="3" s="1"/>
  <c r="Q98" i="3"/>
  <c r="T98" i="3" s="1"/>
  <c r="V98" i="3" s="1"/>
  <c r="R97" i="3"/>
  <c r="U97" i="3" s="1"/>
  <c r="Q97" i="3"/>
  <c r="T97" i="3" s="1"/>
  <c r="R96" i="3"/>
  <c r="U96" i="3" s="1"/>
  <c r="Q96" i="3"/>
  <c r="T96" i="3" s="1"/>
  <c r="R95" i="3"/>
  <c r="U95" i="3" s="1"/>
  <c r="Q95" i="3"/>
  <c r="T95" i="3" s="1"/>
  <c r="Q94" i="3"/>
  <c r="T94" i="3" s="1"/>
  <c r="R93" i="3"/>
  <c r="U93" i="3" s="1"/>
  <c r="Q93" i="3"/>
  <c r="T93" i="3" s="1"/>
  <c r="R92" i="3"/>
  <c r="U92" i="3" s="1"/>
  <c r="Q92" i="3"/>
  <c r="R91" i="3"/>
  <c r="U91" i="3" s="1"/>
  <c r="Q91" i="3"/>
  <c r="T91" i="3" s="1"/>
  <c r="R90" i="3"/>
  <c r="U90" i="3" s="1"/>
  <c r="Q90" i="3"/>
  <c r="T90" i="3" s="1"/>
  <c r="R89" i="3"/>
  <c r="U89" i="3" s="1"/>
  <c r="Q89" i="3"/>
  <c r="T89" i="3" s="1"/>
  <c r="R88" i="3"/>
  <c r="U88" i="3" s="1"/>
  <c r="Q88" i="3"/>
  <c r="Q87" i="3"/>
  <c r="T87" i="3" s="1"/>
  <c r="R86" i="3"/>
  <c r="U86" i="3" s="1"/>
  <c r="Q86" i="3"/>
  <c r="T86" i="3" s="1"/>
  <c r="R85" i="3"/>
  <c r="U85" i="3" s="1"/>
  <c r="Q85" i="3"/>
  <c r="T85" i="3" s="1"/>
  <c r="V85" i="3" s="1"/>
  <c r="R84" i="3"/>
  <c r="U84" i="3" s="1"/>
  <c r="Q84" i="3"/>
  <c r="T84" i="3" s="1"/>
  <c r="R83" i="3"/>
  <c r="U83" i="3" s="1"/>
  <c r="Q83" i="3"/>
  <c r="T83" i="3" s="1"/>
  <c r="R82" i="3"/>
  <c r="U82" i="3" s="1"/>
  <c r="Q82" i="3"/>
  <c r="T82" i="3" s="1"/>
  <c r="R81" i="3"/>
  <c r="U81" i="3" s="1"/>
  <c r="Q81" i="3"/>
  <c r="T81" i="3" s="1"/>
  <c r="V81" i="3" s="1"/>
  <c r="Q80" i="3"/>
  <c r="T80" i="3" s="1"/>
  <c r="R79" i="3"/>
  <c r="U79" i="3" s="1"/>
  <c r="Q79" i="3"/>
  <c r="R78" i="3"/>
  <c r="U78" i="3" s="1"/>
  <c r="Q78" i="3"/>
  <c r="T78" i="3" s="1"/>
  <c r="R77" i="3"/>
  <c r="U77" i="3" s="1"/>
  <c r="Q77" i="3"/>
  <c r="T77" i="3" s="1"/>
  <c r="V77" i="3" s="1"/>
  <c r="R76" i="3"/>
  <c r="U76" i="3" s="1"/>
  <c r="Q76" i="3"/>
  <c r="T76" i="3" s="1"/>
  <c r="R75" i="3"/>
  <c r="U75" i="3" s="1"/>
  <c r="Q75" i="3"/>
  <c r="R74" i="3"/>
  <c r="U74" i="3" s="1"/>
  <c r="Q74" i="3"/>
  <c r="T74" i="3" s="1"/>
  <c r="Q73" i="3"/>
  <c r="T73" i="3" s="1"/>
  <c r="R72" i="3"/>
  <c r="U72" i="3" s="1"/>
  <c r="Q72" i="3"/>
  <c r="T72" i="3" s="1"/>
  <c r="R71" i="3"/>
  <c r="U71" i="3" s="1"/>
  <c r="Q71" i="3"/>
  <c r="T71" i="3" s="1"/>
  <c r="R70" i="3"/>
  <c r="U70" i="3" s="1"/>
  <c r="Q70" i="3"/>
  <c r="T70" i="3" s="1"/>
  <c r="R69" i="3"/>
  <c r="U69" i="3" s="1"/>
  <c r="Q69" i="3"/>
  <c r="T69" i="3" s="1"/>
  <c r="R68" i="3"/>
  <c r="U68" i="3" s="1"/>
  <c r="Q68" i="3"/>
  <c r="T68" i="3" s="1"/>
  <c r="V68" i="3" s="1"/>
  <c r="R67" i="3"/>
  <c r="U67" i="3" s="1"/>
  <c r="Q67" i="3"/>
  <c r="T67" i="3" s="1"/>
  <c r="Q66" i="3"/>
  <c r="T66" i="3" s="1"/>
  <c r="Q65" i="3"/>
  <c r="T65" i="3" s="1"/>
  <c r="Q64" i="3"/>
  <c r="T64" i="3" s="1"/>
  <c r="R63" i="3"/>
  <c r="U63" i="3" s="1"/>
  <c r="Q63" i="3"/>
  <c r="T63" i="3" s="1"/>
  <c r="R62" i="3"/>
  <c r="U62" i="3" s="1"/>
  <c r="Q62" i="3"/>
  <c r="T62" i="3" s="1"/>
  <c r="R61" i="3"/>
  <c r="U61" i="3" s="1"/>
  <c r="Q61" i="3"/>
  <c r="R60" i="3"/>
  <c r="U60" i="3" s="1"/>
  <c r="Q60" i="3"/>
  <c r="T60" i="3" s="1"/>
  <c r="R59" i="3"/>
  <c r="U59" i="3" s="1"/>
  <c r="Q59" i="3"/>
  <c r="T59" i="3" s="1"/>
  <c r="R58" i="3"/>
  <c r="U58" i="3" s="1"/>
  <c r="Q58" i="3"/>
  <c r="R57" i="3"/>
  <c r="U57" i="3" s="1"/>
  <c r="Q57" i="3"/>
  <c r="R56" i="3"/>
  <c r="U56" i="3" s="1"/>
  <c r="Q56" i="3"/>
  <c r="T56" i="3" s="1"/>
  <c r="R55" i="3"/>
  <c r="U55" i="3" s="1"/>
  <c r="Q55" i="3"/>
  <c r="T55" i="3" s="1"/>
  <c r="R54" i="3"/>
  <c r="U54" i="3" s="1"/>
  <c r="Q54" i="3"/>
  <c r="T54" i="3" s="1"/>
  <c r="R53" i="3"/>
  <c r="U53" i="3" s="1"/>
  <c r="Q53" i="3"/>
  <c r="R52" i="3"/>
  <c r="U52" i="3" s="1"/>
  <c r="Q52" i="3"/>
  <c r="T52" i="3" s="1"/>
  <c r="R51" i="3"/>
  <c r="U51" i="3" s="1"/>
  <c r="Q51" i="3"/>
  <c r="T51" i="3" s="1"/>
  <c r="R50" i="3"/>
  <c r="U50" i="3" s="1"/>
  <c r="Q50" i="3"/>
  <c r="T50" i="3" s="1"/>
  <c r="R49" i="3"/>
  <c r="U49" i="3" s="1"/>
  <c r="Q49" i="3"/>
  <c r="R48" i="3"/>
  <c r="U48" i="3" s="1"/>
  <c r="Q48" i="3"/>
  <c r="T48" i="3" s="1"/>
  <c r="R47" i="3"/>
  <c r="U47" i="3" s="1"/>
  <c r="Q47" i="3"/>
  <c r="T47" i="3" s="1"/>
  <c r="R46" i="3"/>
  <c r="U46" i="3" s="1"/>
  <c r="Q46" i="3"/>
  <c r="T46" i="3" s="1"/>
  <c r="R45" i="3"/>
  <c r="U45" i="3" s="1"/>
  <c r="Q45" i="3"/>
  <c r="R44" i="3"/>
  <c r="U44" i="3" s="1"/>
  <c r="Q44" i="3"/>
  <c r="T44" i="3" s="1"/>
  <c r="R43" i="3"/>
  <c r="U43" i="3" s="1"/>
  <c r="Q43" i="3"/>
  <c r="T43" i="3" s="1"/>
  <c r="R42" i="3"/>
  <c r="U42" i="3" s="1"/>
  <c r="Q42" i="3"/>
  <c r="T42" i="3" s="1"/>
  <c r="R41" i="3"/>
  <c r="U41" i="3" s="1"/>
  <c r="Q41" i="3"/>
  <c r="R40" i="3"/>
  <c r="U40" i="3" s="1"/>
  <c r="Q40" i="3"/>
  <c r="T40" i="3" s="1"/>
  <c r="R39" i="3"/>
  <c r="U39" i="3" s="1"/>
  <c r="Q39" i="3"/>
  <c r="T39" i="3" s="1"/>
  <c r="R38" i="3"/>
  <c r="U38" i="3" s="1"/>
  <c r="Q38" i="3"/>
  <c r="T38" i="3" s="1"/>
  <c r="R37" i="3"/>
  <c r="U37" i="3" s="1"/>
  <c r="Q37" i="3"/>
  <c r="R36" i="3"/>
  <c r="U36" i="3" s="1"/>
  <c r="Q36" i="3"/>
  <c r="T36" i="3" s="1"/>
  <c r="R35" i="3"/>
  <c r="U35" i="3" s="1"/>
  <c r="Q35" i="3"/>
  <c r="T35" i="3" s="1"/>
  <c r="R34" i="3"/>
  <c r="U34" i="3" s="1"/>
  <c r="Q34" i="3"/>
  <c r="T34" i="3" s="1"/>
  <c r="R33" i="3"/>
  <c r="U33" i="3" s="1"/>
  <c r="Q33" i="3"/>
  <c r="R32" i="3"/>
  <c r="U32" i="3" s="1"/>
  <c r="Q32" i="3"/>
  <c r="T32" i="3" s="1"/>
  <c r="R31" i="3"/>
  <c r="U31" i="3" s="1"/>
  <c r="Q31" i="3"/>
  <c r="T31" i="3" s="1"/>
  <c r="R30" i="3"/>
  <c r="U30" i="3" s="1"/>
  <c r="Q30" i="3"/>
  <c r="T30" i="3" s="1"/>
  <c r="R29" i="3"/>
  <c r="U29" i="3" s="1"/>
  <c r="Q29" i="3"/>
  <c r="R28" i="3"/>
  <c r="U28" i="3" s="1"/>
  <c r="Q28" i="3"/>
  <c r="T28" i="3" s="1"/>
  <c r="R27" i="3"/>
  <c r="U27" i="3" s="1"/>
  <c r="Q27" i="3"/>
  <c r="T27" i="3" s="1"/>
  <c r="R26" i="3"/>
  <c r="U26" i="3" s="1"/>
  <c r="Q26" i="3"/>
  <c r="T26" i="3" s="1"/>
  <c r="R25" i="3"/>
  <c r="U25" i="3" s="1"/>
  <c r="Q25" i="3"/>
  <c r="R24" i="3"/>
  <c r="U24" i="3" s="1"/>
  <c r="Q24" i="3"/>
  <c r="T24" i="3" s="1"/>
  <c r="R23" i="3"/>
  <c r="U23" i="3" s="1"/>
  <c r="Q23" i="3"/>
  <c r="T23" i="3" s="1"/>
  <c r="R22" i="3"/>
  <c r="U22" i="3" s="1"/>
  <c r="Q22" i="3"/>
  <c r="T22" i="3" s="1"/>
  <c r="R21" i="3"/>
  <c r="U21" i="3" s="1"/>
  <c r="Q21" i="3"/>
  <c r="R20" i="3"/>
  <c r="U20" i="3" s="1"/>
  <c r="Q20" i="3"/>
  <c r="T20" i="3" s="1"/>
  <c r="R19" i="3"/>
  <c r="U19" i="3" s="1"/>
  <c r="Q19" i="3"/>
  <c r="T19" i="3" s="1"/>
  <c r="R18" i="3"/>
  <c r="U18" i="3" s="1"/>
  <c r="Q18" i="3"/>
  <c r="T18" i="3" s="1"/>
  <c r="R17" i="3"/>
  <c r="U17" i="3" s="1"/>
  <c r="Q17" i="3"/>
  <c r="R16" i="3"/>
  <c r="U16" i="3" s="1"/>
  <c r="Q16" i="3"/>
  <c r="T16" i="3" s="1"/>
  <c r="R15" i="3"/>
  <c r="Q15" i="3"/>
  <c r="Q11" i="3"/>
  <c r="Q10" i="3"/>
  <c r="Q9" i="3"/>
  <c r="Q8" i="3"/>
  <c r="P7" i="3"/>
  <c r="L7" i="3"/>
  <c r="K7" i="3"/>
  <c r="M7" i="3" s="1"/>
  <c r="I7" i="3"/>
  <c r="H7" i="3"/>
  <c r="J7" i="3" s="1"/>
  <c r="F7" i="3"/>
  <c r="E7" i="3"/>
  <c r="C161" i="3"/>
  <c r="AR228" i="9" l="1"/>
  <c r="AP228" i="9"/>
  <c r="AB94" i="9"/>
  <c r="AA94" i="9"/>
  <c r="X94" i="9"/>
  <c r="Y94" i="9"/>
  <c r="Z94" i="9"/>
  <c r="AC94" i="9"/>
  <c r="AK94" i="9"/>
  <c r="AV94" i="9" s="1"/>
  <c r="AJ94" i="9"/>
  <c r="AU94" i="9" s="1"/>
  <c r="AI94" i="9"/>
  <c r="AT94" i="9" s="1"/>
  <c r="A95" i="9"/>
  <c r="A96" i="9" s="1"/>
  <c r="A97" i="9" s="1"/>
  <c r="A98" i="9" s="1"/>
  <c r="A99" i="9" s="1"/>
  <c r="A100" i="9" s="1"/>
  <c r="A101" i="9" s="1"/>
  <c r="A102" i="9" s="1"/>
  <c r="AH94" i="9"/>
  <c r="AS94" i="9" s="1"/>
  <c r="AM94" i="9"/>
  <c r="AL94" i="9"/>
  <c r="AW94" i="9" s="1"/>
  <c r="AQ80" i="9"/>
  <c r="AP80" i="9"/>
  <c r="AL229" i="9"/>
  <c r="AW229" i="9" s="1"/>
  <c r="AK229" i="9"/>
  <c r="AV229" i="9" s="1"/>
  <c r="AJ229" i="9"/>
  <c r="AU229" i="9" s="1"/>
  <c r="AI229" i="9"/>
  <c r="AT229" i="9" s="1"/>
  <c r="A230" i="9"/>
  <c r="A231" i="9" s="1"/>
  <c r="AH229" i="9"/>
  <c r="AS229" i="9" s="1"/>
  <c r="AM229" i="9"/>
  <c r="AQ228" i="9"/>
  <c r="V72" i="3"/>
  <c r="V111" i="3"/>
  <c r="V137" i="3"/>
  <c r="V120" i="3"/>
  <c r="V67" i="3"/>
  <c r="V136" i="3"/>
  <c r="T15" i="3"/>
  <c r="H172" i="3"/>
  <c r="H173" i="3" s="1"/>
  <c r="V133" i="3"/>
  <c r="U15" i="3"/>
  <c r="I172" i="3"/>
  <c r="V123" i="3"/>
  <c r="V124" i="3"/>
  <c r="V106" i="3"/>
  <c r="V110" i="3"/>
  <c r="V76" i="3"/>
  <c r="V89" i="3"/>
  <c r="V93" i="3"/>
  <c r="V115" i="3"/>
  <c r="V119" i="3"/>
  <c r="V128" i="3"/>
  <c r="V132" i="3"/>
  <c r="V69" i="3"/>
  <c r="V82" i="3"/>
  <c r="V86" i="3"/>
  <c r="V95" i="3"/>
  <c r="V74" i="3"/>
  <c r="V78" i="3"/>
  <c r="V91" i="3"/>
  <c r="V117" i="3"/>
  <c r="V121" i="3"/>
  <c r="V130" i="3"/>
  <c r="V139" i="3"/>
  <c r="V105" i="3"/>
  <c r="V109" i="3"/>
  <c r="V113" i="3"/>
  <c r="V126" i="3"/>
  <c r="V135" i="3"/>
  <c r="V71" i="3"/>
  <c r="V84" i="3"/>
  <c r="V97" i="3"/>
  <c r="V90" i="3"/>
  <c r="V99" i="3"/>
  <c r="V70" i="3"/>
  <c r="V83" i="3"/>
  <c r="V96" i="3"/>
  <c r="V100" i="3"/>
  <c r="S79" i="3"/>
  <c r="T79" i="3"/>
  <c r="V79" i="3" s="1"/>
  <c r="S131" i="3"/>
  <c r="T131" i="3"/>
  <c r="V131" i="3" s="1"/>
  <c r="S88" i="3"/>
  <c r="T88" i="3"/>
  <c r="V88" i="3" s="1"/>
  <c r="S118" i="3"/>
  <c r="T118" i="3"/>
  <c r="V118" i="3" s="1"/>
  <c r="S75" i="3"/>
  <c r="T75" i="3"/>
  <c r="V75" i="3" s="1"/>
  <c r="S92" i="3"/>
  <c r="T92" i="3"/>
  <c r="V92" i="3" s="1"/>
  <c r="S21" i="3"/>
  <c r="T21" i="3"/>
  <c r="S29" i="3"/>
  <c r="T29" i="3"/>
  <c r="S33" i="3"/>
  <c r="T33" i="3"/>
  <c r="S37" i="3"/>
  <c r="T37" i="3"/>
  <c r="S41" i="3"/>
  <c r="T41" i="3"/>
  <c r="S45" i="3"/>
  <c r="T45" i="3"/>
  <c r="S49" i="3"/>
  <c r="T49" i="3"/>
  <c r="S53" i="3"/>
  <c r="T53" i="3"/>
  <c r="S57" i="3"/>
  <c r="T57" i="3"/>
  <c r="S61" i="3"/>
  <c r="T61" i="3"/>
  <c r="S25" i="3"/>
  <c r="T25" i="3"/>
  <c r="S58" i="3"/>
  <c r="T58" i="3"/>
  <c r="S17" i="3"/>
  <c r="T17" i="3"/>
  <c r="S16" i="3"/>
  <c r="S20" i="3"/>
  <c r="S24" i="3"/>
  <c r="S28" i="3"/>
  <c r="S32" i="3"/>
  <c r="S36" i="3"/>
  <c r="S40" i="3"/>
  <c r="S44" i="3"/>
  <c r="S139" i="3"/>
  <c r="S116" i="3"/>
  <c r="S15" i="3"/>
  <c r="S19" i="3"/>
  <c r="S23" i="3"/>
  <c r="S27" i="3"/>
  <c r="S31" i="3"/>
  <c r="S35" i="3"/>
  <c r="S39" i="3"/>
  <c r="S43" i="3"/>
  <c r="S47" i="3"/>
  <c r="S51" i="3"/>
  <c r="S90" i="3"/>
  <c r="S120" i="3"/>
  <c r="S69" i="3"/>
  <c r="S82" i="3"/>
  <c r="S86" i="3"/>
  <c r="S95" i="3"/>
  <c r="S99" i="3"/>
  <c r="S104" i="3"/>
  <c r="S108" i="3"/>
  <c r="S143" i="3"/>
  <c r="S55" i="3"/>
  <c r="S59" i="3"/>
  <c r="S63" i="3"/>
  <c r="S129" i="3"/>
  <c r="S98" i="3"/>
  <c r="S97" i="3"/>
  <c r="S136" i="3"/>
  <c r="S141" i="3"/>
  <c r="S77" i="3"/>
  <c r="S133" i="3"/>
  <c r="S48" i="3"/>
  <c r="S96" i="3"/>
  <c r="S100" i="3"/>
  <c r="S105" i="3"/>
  <c r="S109" i="3"/>
  <c r="S113" i="3"/>
  <c r="S126" i="3"/>
  <c r="S135" i="3"/>
  <c r="S67" i="3"/>
  <c r="S106" i="3"/>
  <c r="S18" i="3"/>
  <c r="S22" i="3"/>
  <c r="S26" i="3"/>
  <c r="S30" i="3"/>
  <c r="S34" i="3"/>
  <c r="S38" i="3"/>
  <c r="S42" i="3"/>
  <c r="S46" i="3"/>
  <c r="S50" i="3"/>
  <c r="S54" i="3"/>
  <c r="S76" i="3"/>
  <c r="S89" i="3"/>
  <c r="S93" i="3"/>
  <c r="S115" i="3"/>
  <c r="S119" i="3"/>
  <c r="S128" i="3"/>
  <c r="S125" i="3"/>
  <c r="S52" i="3"/>
  <c r="S74" i="3"/>
  <c r="S130" i="3"/>
  <c r="Q7" i="3"/>
  <c r="S112" i="3"/>
  <c r="S56" i="3"/>
  <c r="S60" i="3"/>
  <c r="S78" i="3"/>
  <c r="S91" i="3"/>
  <c r="S117" i="3"/>
  <c r="S121" i="3"/>
  <c r="S70" i="3"/>
  <c r="S83" i="3"/>
  <c r="S71" i="3"/>
  <c r="S84" i="3"/>
  <c r="S110" i="3"/>
  <c r="S123" i="3"/>
  <c r="S62" i="3"/>
  <c r="S132" i="3"/>
  <c r="S68" i="3"/>
  <c r="S72" i="3"/>
  <c r="S81" i="3"/>
  <c r="S85" i="3"/>
  <c r="S103" i="3"/>
  <c r="S107" i="3"/>
  <c r="S111" i="3"/>
  <c r="S124" i="3"/>
  <c r="S137" i="3"/>
  <c r="S142" i="3"/>
  <c r="J32" i="7"/>
  <c r="J30" i="7"/>
  <c r="D97" i="7"/>
  <c r="D96" i="7" s="1"/>
  <c r="D94" i="7"/>
  <c r="D93" i="7" s="1"/>
  <c r="D91" i="7"/>
  <c r="D90" i="7" s="1"/>
  <c r="D88" i="7"/>
  <c r="D87" i="7" s="1"/>
  <c r="D85" i="7"/>
  <c r="E97" i="7" s="1"/>
  <c r="D82" i="7"/>
  <c r="D81" i="7" s="1"/>
  <c r="C82" i="7"/>
  <c r="C85" i="7" s="1"/>
  <c r="C88" i="7" s="1"/>
  <c r="C91" i="7" s="1"/>
  <c r="C94" i="7" s="1"/>
  <c r="C97" i="7" s="1"/>
  <c r="C81" i="7"/>
  <c r="C84" i="7" s="1"/>
  <c r="C87" i="7" s="1"/>
  <c r="C90" i="7" s="1"/>
  <c r="C93" i="7" s="1"/>
  <c r="C96" i="7" s="1"/>
  <c r="D79" i="7"/>
  <c r="D75" i="7"/>
  <c r="J47" i="7"/>
  <c r="J48" i="7" s="1"/>
  <c r="J46" i="7"/>
  <c r="J45" i="7"/>
  <c r="J42" i="7"/>
  <c r="J41" i="7"/>
  <c r="J38" i="7"/>
  <c r="I38" i="7"/>
  <c r="G38" i="7"/>
  <c r="I36" i="7"/>
  <c r="J36" i="7" s="1"/>
  <c r="G36" i="7"/>
  <c r="J43" i="7" s="1"/>
  <c r="J34" i="7"/>
  <c r="Q102" i="9" l="1"/>
  <c r="Z102" i="9"/>
  <c r="T102" i="9"/>
  <c r="AB102" i="9"/>
  <c r="Y102" i="9"/>
  <c r="U102" i="9"/>
  <c r="AC102" i="9"/>
  <c r="V102" i="9"/>
  <c r="AD102" i="9"/>
  <c r="P102" i="9"/>
  <c r="W102" i="9"/>
  <c r="O102" i="9"/>
  <c r="X102" i="9"/>
  <c r="AA102" i="9"/>
  <c r="S102" i="9"/>
  <c r="AN102" i="9" s="1"/>
  <c r="AG102" i="9"/>
  <c r="A103" i="9"/>
  <c r="AL102" i="9"/>
  <c r="AW102" i="9" s="1"/>
  <c r="AK102" i="9"/>
  <c r="AV102" i="9" s="1"/>
  <c r="AF102" i="9"/>
  <c r="AQ102" i="9" s="1"/>
  <c r="AJ102" i="9"/>
  <c r="AU102" i="9" s="1"/>
  <c r="AM102" i="9"/>
  <c r="AI102" i="9"/>
  <c r="AT102" i="9" s="1"/>
  <c r="AE102" i="9"/>
  <c r="AP102" i="9" s="1"/>
  <c r="AH102" i="9"/>
  <c r="AS102" i="9" s="1"/>
  <c r="AM231" i="9"/>
  <c r="AL231" i="9"/>
  <c r="AK231" i="9"/>
  <c r="AJ231" i="9"/>
  <c r="AI231" i="9"/>
  <c r="A232" i="9"/>
  <c r="AH231" i="9"/>
  <c r="V15" i="3"/>
  <c r="J172" i="3"/>
  <c r="J173" i="3" s="1"/>
  <c r="I173" i="3"/>
  <c r="D84" i="7"/>
  <c r="E94" i="7"/>
  <c r="E91" i="7"/>
  <c r="AR102" i="9" l="1"/>
  <c r="Y103" i="9"/>
  <c r="AA103" i="9"/>
  <c r="AB103" i="9"/>
  <c r="X103" i="9"/>
  <c r="AC103" i="9"/>
  <c r="P103" i="9"/>
  <c r="R103" i="9" s="1"/>
  <c r="Q103" i="9"/>
  <c r="Z103" i="9"/>
  <c r="AM103" i="9"/>
  <c r="AJ103" i="9"/>
  <c r="AU103" i="9" s="1"/>
  <c r="AI103" i="9"/>
  <c r="AT103" i="9" s="1"/>
  <c r="A104" i="9"/>
  <c r="A105" i="9" s="1"/>
  <c r="AL103" i="9"/>
  <c r="AW103" i="9" s="1"/>
  <c r="AK103" i="9"/>
  <c r="AV103" i="9" s="1"/>
  <c r="AH103" i="9"/>
  <c r="AS103" i="9" s="1"/>
  <c r="AO102" i="9"/>
  <c r="R102" i="9"/>
  <c r="AU231" i="9"/>
  <c r="AV231" i="9"/>
  <c r="AS231" i="9"/>
  <c r="AW231" i="9"/>
  <c r="AL232" i="9"/>
  <c r="AW232" i="9" s="1"/>
  <c r="AK232" i="9"/>
  <c r="AV232" i="9" s="1"/>
  <c r="AJ232" i="9"/>
  <c r="AU232" i="9" s="1"/>
  <c r="AI232" i="9"/>
  <c r="AT232" i="9" s="1"/>
  <c r="A233" i="9"/>
  <c r="AH232" i="9"/>
  <c r="AS232" i="9" s="1"/>
  <c r="AM232" i="9"/>
  <c r="AT231" i="9"/>
  <c r="U22" i="2"/>
  <c r="U21" i="2" s="1"/>
  <c r="U20" i="2"/>
  <c r="U19" i="2"/>
  <c r="U18" i="2"/>
  <c r="U17" i="2"/>
  <c r="T22" i="2"/>
  <c r="T20" i="2"/>
  <c r="T19" i="2"/>
  <c r="T18" i="2"/>
  <c r="S18" i="2" s="1"/>
  <c r="R18" i="2" s="1"/>
  <c r="T17" i="2"/>
  <c r="L17" i="5"/>
  <c r="M17" i="5" s="1"/>
  <c r="N17" i="5" s="1"/>
  <c r="Q16" i="5"/>
  <c r="K16" i="5"/>
  <c r="L16" i="5" s="1"/>
  <c r="M16" i="5" s="1"/>
  <c r="N16" i="5" s="1"/>
  <c r="O16" i="5" s="1"/>
  <c r="P16" i="5" s="1"/>
  <c r="J15" i="5"/>
  <c r="K15" i="5" s="1"/>
  <c r="L15" i="5" s="1"/>
  <c r="M15" i="5" s="1"/>
  <c r="N15" i="5" s="1"/>
  <c r="O15" i="5" s="1"/>
  <c r="P15" i="5" s="1"/>
  <c r="I14" i="5"/>
  <c r="J14" i="5" s="1"/>
  <c r="K14" i="5" s="1"/>
  <c r="L14" i="5" s="1"/>
  <c r="M14" i="5" s="1"/>
  <c r="N14" i="5" s="1"/>
  <c r="O14" i="5" s="1"/>
  <c r="P14" i="5" s="1"/>
  <c r="H13" i="5"/>
  <c r="I13" i="5" s="1"/>
  <c r="J13" i="5" s="1"/>
  <c r="G12" i="5"/>
  <c r="H12" i="5" s="1"/>
  <c r="I12" i="5" s="1"/>
  <c r="J12" i="5" s="1"/>
  <c r="F11" i="5"/>
  <c r="G11" i="5" s="1"/>
  <c r="H11" i="5" s="1"/>
  <c r="I11" i="5" s="1"/>
  <c r="J11" i="5" s="1"/>
  <c r="F10" i="5"/>
  <c r="G10" i="5" s="1"/>
  <c r="H10" i="5" s="1"/>
  <c r="I10" i="5" s="1"/>
  <c r="J10" i="5" s="1"/>
  <c r="E10" i="5"/>
  <c r="E9" i="5"/>
  <c r="F9" i="5" s="1"/>
  <c r="G9" i="5" s="1"/>
  <c r="H9" i="5" s="1"/>
  <c r="I9" i="5" s="1"/>
  <c r="J9" i="5" s="1"/>
  <c r="D9" i="5"/>
  <c r="N7" i="5"/>
  <c r="O7" i="5" s="1"/>
  <c r="P7" i="5" s="1"/>
  <c r="Y105" i="9" l="1"/>
  <c r="AA105" i="9"/>
  <c r="X105" i="9"/>
  <c r="AB105" i="9"/>
  <c r="AC105" i="9"/>
  <c r="P105" i="9"/>
  <c r="Q105" i="9"/>
  <c r="Z105" i="9"/>
  <c r="AL105" i="9"/>
  <c r="AW105" i="9" s="1"/>
  <c r="AJ105" i="9"/>
  <c r="AU105" i="9" s="1"/>
  <c r="AK105" i="9"/>
  <c r="AV105" i="9" s="1"/>
  <c r="AI105" i="9"/>
  <c r="AT105" i="9" s="1"/>
  <c r="AH105" i="9"/>
  <c r="AS105" i="9" s="1"/>
  <c r="A106" i="9"/>
  <c r="AM105" i="9"/>
  <c r="AJ233" i="9"/>
  <c r="AU233" i="9" s="1"/>
  <c r="AI233" i="9"/>
  <c r="A234" i="9"/>
  <c r="A235" i="9" s="1"/>
  <c r="A236" i="9" s="1"/>
  <c r="AH233" i="9"/>
  <c r="AS233" i="9" s="1"/>
  <c r="AM233" i="9"/>
  <c r="AM230" i="9" s="1"/>
  <c r="AL233" i="9"/>
  <c r="AW233" i="9" s="1"/>
  <c r="AK233" i="9"/>
  <c r="AV233" i="9" s="1"/>
  <c r="U16" i="2"/>
  <c r="K13" i="5"/>
  <c r="L13" i="5" s="1"/>
  <c r="M13" i="5" s="1"/>
  <c r="N13" i="5" s="1"/>
  <c r="O13" i="5" s="1"/>
  <c r="P13" i="5" s="1"/>
  <c r="Q13" i="5"/>
  <c r="Q12" i="5"/>
  <c r="K12" i="5"/>
  <c r="L12" i="5" s="1"/>
  <c r="M12" i="5" s="1"/>
  <c r="N12" i="5" s="1"/>
  <c r="O12" i="5" s="1"/>
  <c r="P12" i="5" s="1"/>
  <c r="K9" i="5"/>
  <c r="L9" i="5" s="1"/>
  <c r="M9" i="5" s="1"/>
  <c r="N9" i="5" s="1"/>
  <c r="O9" i="5" s="1"/>
  <c r="P9" i="5" s="1"/>
  <c r="Q9" i="5"/>
  <c r="K10" i="5"/>
  <c r="L10" i="5" s="1"/>
  <c r="M10" i="5" s="1"/>
  <c r="N10" i="5" s="1"/>
  <c r="O10" i="5" s="1"/>
  <c r="P10" i="5" s="1"/>
  <c r="Q10" i="5"/>
  <c r="K11" i="5"/>
  <c r="L11" i="5" s="1"/>
  <c r="M11" i="5" s="1"/>
  <c r="N11" i="5" s="1"/>
  <c r="O11" i="5" s="1"/>
  <c r="P11" i="5" s="1"/>
  <c r="Q11" i="5"/>
  <c r="O17" i="5"/>
  <c r="P17" i="5" s="1"/>
  <c r="Q14" i="5"/>
  <c r="Q15" i="5"/>
  <c r="J15" i="4"/>
  <c r="J17" i="4" s="1"/>
  <c r="F15" i="4"/>
  <c r="E15" i="4"/>
  <c r="D15" i="4"/>
  <c r="I15" i="4" s="1"/>
  <c r="I17" i="4" s="1"/>
  <c r="F14" i="4"/>
  <c r="I14" i="4" s="1"/>
  <c r="I16" i="4" s="1"/>
  <c r="E14" i="4"/>
  <c r="D14" i="4"/>
  <c r="H10" i="4"/>
  <c r="K17" i="4" s="1"/>
  <c r="H9" i="4"/>
  <c r="K16" i="4" s="1"/>
  <c r="F4" i="4"/>
  <c r="E4" i="4"/>
  <c r="D4" i="4"/>
  <c r="C4" i="4"/>
  <c r="Q12" i="2"/>
  <c r="P199" i="2"/>
  <c r="N199" i="2"/>
  <c r="I199" i="2"/>
  <c r="H199" i="2"/>
  <c r="P198" i="2"/>
  <c r="N198" i="2"/>
  <c r="I198" i="2"/>
  <c r="H198" i="2"/>
  <c r="P197" i="2"/>
  <c r="N197" i="2"/>
  <c r="I197" i="2"/>
  <c r="H197" i="2"/>
  <c r="F178" i="2"/>
  <c r="K169" i="2"/>
  <c r="K167" i="2" s="1"/>
  <c r="K165" i="2"/>
  <c r="K164" i="2"/>
  <c r="K163" i="2"/>
  <c r="K162" i="2"/>
  <c r="K161" i="2"/>
  <c r="P177" i="2"/>
  <c r="P178" i="2" s="1"/>
  <c r="N177" i="2"/>
  <c r="N178" i="2" s="1"/>
  <c r="R144" i="3"/>
  <c r="U144" i="3" s="1"/>
  <c r="H177" i="2"/>
  <c r="H178" i="2" s="1"/>
  <c r="U152" i="2"/>
  <c r="K152" i="2"/>
  <c r="Q149" i="2"/>
  <c r="K149" i="2"/>
  <c r="J149" i="2"/>
  <c r="R140" i="3" s="1"/>
  <c r="U147" i="2"/>
  <c r="Q147" i="2"/>
  <c r="K147" i="2"/>
  <c r="R138" i="3"/>
  <c r="U145" i="2"/>
  <c r="U144" i="2"/>
  <c r="Q143" i="2"/>
  <c r="K143" i="2"/>
  <c r="R134" i="3"/>
  <c r="U142" i="2"/>
  <c r="U141" i="2"/>
  <c r="U140" i="2" s="1"/>
  <c r="K139" i="2"/>
  <c r="U139" i="2" s="1"/>
  <c r="U138" i="2"/>
  <c r="K137" i="2"/>
  <c r="K136" i="2" s="1"/>
  <c r="Q136" i="2"/>
  <c r="R127" i="3"/>
  <c r="K135" i="2"/>
  <c r="U134" i="2"/>
  <c r="U133" i="2"/>
  <c r="K132" i="2"/>
  <c r="Q131" i="2"/>
  <c r="R122" i="3"/>
  <c r="U130" i="2"/>
  <c r="U129" i="2"/>
  <c r="U128" i="2"/>
  <c r="K128" i="2"/>
  <c r="U127" i="2"/>
  <c r="U126" i="2"/>
  <c r="K126" i="2"/>
  <c r="U125" i="2"/>
  <c r="K125" i="2"/>
  <c r="Q123" i="2"/>
  <c r="R114" i="3"/>
  <c r="U122" i="2"/>
  <c r="U121" i="2"/>
  <c r="U120" i="2"/>
  <c r="U119" i="2"/>
  <c r="U118" i="2"/>
  <c r="U117" i="2"/>
  <c r="T116" i="2"/>
  <c r="S116" i="2" s="1"/>
  <c r="U115" i="2"/>
  <c r="U114" i="2"/>
  <c r="U112" i="2"/>
  <c r="K112" i="2"/>
  <c r="K111" i="2" s="1"/>
  <c r="Q111" i="2"/>
  <c r="T109" i="2"/>
  <c r="T108" i="2"/>
  <c r="R106" i="2"/>
  <c r="Q103" i="2"/>
  <c r="R94" i="3"/>
  <c r="T102" i="2"/>
  <c r="T101" i="2"/>
  <c r="R99" i="2"/>
  <c r="K99" i="2"/>
  <c r="Q96" i="2"/>
  <c r="R87" i="3"/>
  <c r="R92" i="2"/>
  <c r="K92" i="2"/>
  <c r="Q89" i="2"/>
  <c r="R80" i="3"/>
  <c r="T88" i="2"/>
  <c r="R85" i="2"/>
  <c r="K85" i="2"/>
  <c r="K82" i="2" s="1"/>
  <c r="Q82" i="2"/>
  <c r="R73" i="3"/>
  <c r="T81" i="2"/>
  <c r="K78" i="2"/>
  <c r="K198" i="2" s="1"/>
  <c r="Q75" i="2"/>
  <c r="T72" i="2"/>
  <c r="R72" i="2"/>
  <c r="R71" i="2" s="1"/>
  <c r="T71" i="2"/>
  <c r="T70" i="2"/>
  <c r="R70" i="2"/>
  <c r="T69" i="2"/>
  <c r="R69" i="2"/>
  <c r="T68" i="2"/>
  <c r="R68" i="2"/>
  <c r="T67" i="2"/>
  <c r="R67" i="2"/>
  <c r="T66" i="2"/>
  <c r="R66" i="2"/>
  <c r="T65" i="2"/>
  <c r="R65" i="2"/>
  <c r="T64" i="2"/>
  <c r="T63" i="2"/>
  <c r="T62" i="2"/>
  <c r="R61" i="2"/>
  <c r="T59" i="2"/>
  <c r="R59" i="2"/>
  <c r="T57" i="2"/>
  <c r="R57" i="2"/>
  <c r="T56" i="2"/>
  <c r="T55" i="2"/>
  <c r="T54" i="2"/>
  <c r="R53" i="2"/>
  <c r="T51" i="2"/>
  <c r="R51" i="2"/>
  <c r="T50" i="2"/>
  <c r="R50" i="2"/>
  <c r="T48" i="2"/>
  <c r="R48" i="2"/>
  <c r="T47" i="2"/>
  <c r="R47" i="2"/>
  <c r="T46" i="2"/>
  <c r="R46" i="2"/>
  <c r="T45" i="2"/>
  <c r="R45" i="2"/>
  <c r="T44" i="2"/>
  <c r="R44" i="2"/>
  <c r="R43" i="2" s="1"/>
  <c r="T42" i="2"/>
  <c r="R42" i="2"/>
  <c r="T41" i="2"/>
  <c r="R41" i="2"/>
  <c r="T40" i="2"/>
  <c r="R40" i="2"/>
  <c r="T39" i="2"/>
  <c r="T38" i="2"/>
  <c r="T37" i="2"/>
  <c r="R36" i="2"/>
  <c r="T35" i="2"/>
  <c r="R35" i="2"/>
  <c r="T34" i="2"/>
  <c r="T33" i="2"/>
  <c r="T32" i="2"/>
  <c r="R31" i="2"/>
  <c r="T29" i="2"/>
  <c r="R29" i="2"/>
  <c r="T28" i="2"/>
  <c r="R28" i="2"/>
  <c r="T27" i="2"/>
  <c r="R27" i="2"/>
  <c r="T26" i="2"/>
  <c r="R26" i="2"/>
  <c r="R25" i="2" s="1"/>
  <c r="S23" i="2"/>
  <c r="R23" i="2"/>
  <c r="S22" i="2"/>
  <c r="R22" i="2"/>
  <c r="K22" i="2"/>
  <c r="T21" i="2"/>
  <c r="S20" i="2"/>
  <c r="R20" i="2" s="1"/>
  <c r="K20" i="2"/>
  <c r="R11" i="3" s="1"/>
  <c r="S11" i="3" s="1"/>
  <c r="S19" i="2"/>
  <c r="R19" i="2" s="1"/>
  <c r="K19" i="2"/>
  <c r="R10" i="3" s="1"/>
  <c r="S10" i="3" s="1"/>
  <c r="K18" i="2"/>
  <c r="R9" i="3" s="1"/>
  <c r="S9" i="3" s="1"/>
  <c r="S17" i="2"/>
  <c r="R17" i="2" s="1"/>
  <c r="K17" i="2"/>
  <c r="T16" i="2"/>
  <c r="Q197" i="2"/>
  <c r="J197" i="2"/>
  <c r="U14" i="2"/>
  <c r="S14" i="2"/>
  <c r="R14" i="2"/>
  <c r="H13" i="2"/>
  <c r="I12" i="2"/>
  <c r="AJ230" i="9" l="1"/>
  <c r="AU230" i="9" s="1"/>
  <c r="AK230" i="9"/>
  <c r="AV230" i="9" s="1"/>
  <c r="AL230" i="9"/>
  <c r="AW230" i="9" s="1"/>
  <c r="R105" i="9"/>
  <c r="X106" i="9"/>
  <c r="Z106" i="9"/>
  <c r="AA106" i="9"/>
  <c r="AB106" i="9"/>
  <c r="P106" i="9"/>
  <c r="AC106" i="9"/>
  <c r="Q106" i="9"/>
  <c r="Y106" i="9"/>
  <c r="AL106" i="9"/>
  <c r="AW106" i="9" s="1"/>
  <c r="AK106" i="9"/>
  <c r="AV106" i="9" s="1"/>
  <c r="A107" i="9"/>
  <c r="AM106" i="9"/>
  <c r="AJ106" i="9"/>
  <c r="AU106" i="9" s="1"/>
  <c r="AI106" i="9"/>
  <c r="AT106" i="9" s="1"/>
  <c r="AH106" i="9"/>
  <c r="AS106" i="9" s="1"/>
  <c r="A237" i="9"/>
  <c r="A238" i="9" s="1"/>
  <c r="AT233" i="9"/>
  <c r="AI230" i="9"/>
  <c r="AT230" i="9" s="1"/>
  <c r="AH230" i="9"/>
  <c r="AS230" i="9" s="1"/>
  <c r="K158" i="2"/>
  <c r="K153" i="2" s="1"/>
  <c r="S140" i="3"/>
  <c r="U140" i="3"/>
  <c r="V140" i="3" s="1"/>
  <c r="S114" i="3"/>
  <c r="U114" i="3"/>
  <c r="V114" i="3" s="1"/>
  <c r="S134" i="3"/>
  <c r="U134" i="3"/>
  <c r="V134" i="3" s="1"/>
  <c r="S127" i="3"/>
  <c r="U127" i="3"/>
  <c r="V127" i="3" s="1"/>
  <c r="S122" i="3"/>
  <c r="U122" i="3"/>
  <c r="V122" i="3" s="1"/>
  <c r="S138" i="3"/>
  <c r="U138" i="3"/>
  <c r="V138" i="3" s="1"/>
  <c r="S73" i="3"/>
  <c r="U73" i="3"/>
  <c r="V73" i="3" s="1"/>
  <c r="S94" i="3"/>
  <c r="U94" i="3"/>
  <c r="V94" i="3" s="1"/>
  <c r="S87" i="3"/>
  <c r="U87" i="3"/>
  <c r="V87" i="3" s="1"/>
  <c r="S80" i="3"/>
  <c r="U80" i="3"/>
  <c r="V80" i="3" s="1"/>
  <c r="AB74" i="2"/>
  <c r="AC74" i="2" s="1"/>
  <c r="AD74" i="2" s="1"/>
  <c r="T31" i="2"/>
  <c r="T25" i="2"/>
  <c r="Q110" i="2"/>
  <c r="R21" i="2"/>
  <c r="R60" i="2"/>
  <c r="R58" i="2" s="1"/>
  <c r="Q74" i="2"/>
  <c r="Q73" i="2" s="1"/>
  <c r="K131" i="2"/>
  <c r="T53" i="2"/>
  <c r="T52" i="2" s="1"/>
  <c r="T49" i="2" s="1"/>
  <c r="T61" i="2"/>
  <c r="T60" i="2" s="1"/>
  <c r="T58" i="2" s="1"/>
  <c r="T36" i="2"/>
  <c r="T43" i="2"/>
  <c r="R66" i="3"/>
  <c r="Q198" i="2"/>
  <c r="K16" i="2"/>
  <c r="R8" i="3"/>
  <c r="R30" i="2"/>
  <c r="R101" i="3"/>
  <c r="R102" i="3"/>
  <c r="K123" i="2"/>
  <c r="U131" i="2"/>
  <c r="I177" i="2"/>
  <c r="Q144" i="3"/>
  <c r="T144" i="3" s="1"/>
  <c r="V144" i="3" s="1"/>
  <c r="S21" i="2"/>
  <c r="S16" i="2"/>
  <c r="L17" i="4"/>
  <c r="J14" i="4"/>
  <c r="J16" i="4" s="1"/>
  <c r="L16" i="4" s="1"/>
  <c r="R52" i="2"/>
  <c r="R49" i="2" s="1"/>
  <c r="U76" i="2"/>
  <c r="U90" i="2"/>
  <c r="U83" i="2"/>
  <c r="U97" i="2"/>
  <c r="U104" i="2"/>
  <c r="U143" i="2"/>
  <c r="U111" i="2"/>
  <c r="R16" i="2"/>
  <c r="R76" i="2" s="1"/>
  <c r="R75" i="2" s="1"/>
  <c r="R74" i="2" s="1"/>
  <c r="J198" i="2"/>
  <c r="X107" i="9" l="1"/>
  <c r="X104" i="9" s="1"/>
  <c r="Z107" i="9"/>
  <c r="Z104" i="9" s="1"/>
  <c r="AA107" i="9"/>
  <c r="AA104" i="9" s="1"/>
  <c r="Q107" i="9"/>
  <c r="R107" i="9" s="1"/>
  <c r="AB107" i="9"/>
  <c r="AB104" i="9" s="1"/>
  <c r="AC107" i="9"/>
  <c r="P107" i="9"/>
  <c r="P104" i="9" s="1"/>
  <c r="Y107" i="9"/>
  <c r="Y104" i="9" s="1"/>
  <c r="AK107" i="9"/>
  <c r="AV107" i="9" s="1"/>
  <c r="AM107" i="9"/>
  <c r="AM104" i="9" s="1"/>
  <c r="AL107" i="9"/>
  <c r="AW107" i="9" s="1"/>
  <c r="AH107" i="9"/>
  <c r="AJ107" i="9"/>
  <c r="AU107" i="9" s="1"/>
  <c r="AI107" i="9"/>
  <c r="AT107" i="9" s="1"/>
  <c r="A108" i="9"/>
  <c r="A109" i="9" s="1"/>
  <c r="A110" i="9" s="1"/>
  <c r="R106" i="9"/>
  <c r="AC104" i="9"/>
  <c r="A239" i="9"/>
  <c r="K21" i="2"/>
  <c r="K76" i="2"/>
  <c r="K75" i="8"/>
  <c r="K81" i="8" s="1"/>
  <c r="U171" i="2"/>
  <c r="T171" i="2" s="1"/>
  <c r="S171" i="2" s="1"/>
  <c r="R166" i="2"/>
  <c r="S66" i="3"/>
  <c r="U66" i="3"/>
  <c r="V66" i="3" s="1"/>
  <c r="S102" i="3"/>
  <c r="U102" i="3"/>
  <c r="V102" i="3" s="1"/>
  <c r="S101" i="3"/>
  <c r="U101" i="3"/>
  <c r="V101" i="3" s="1"/>
  <c r="K24" i="2"/>
  <c r="AE74" i="2"/>
  <c r="AF74" i="2" s="1"/>
  <c r="T30" i="2"/>
  <c r="S67" i="2"/>
  <c r="U67" i="2" s="1"/>
  <c r="Q177" i="2"/>
  <c r="S51" i="2"/>
  <c r="U51" i="2" s="1"/>
  <c r="Q199" i="2"/>
  <c r="S65" i="2"/>
  <c r="U65" i="2" s="1"/>
  <c r="S28" i="2"/>
  <c r="U28" i="2" s="1"/>
  <c r="K110" i="2"/>
  <c r="S48" i="2"/>
  <c r="U48" i="2" s="1"/>
  <c r="S70" i="2"/>
  <c r="U70" i="2" s="1"/>
  <c r="S31" i="2"/>
  <c r="U31" i="2" s="1"/>
  <c r="K75" i="2"/>
  <c r="S41" i="2"/>
  <c r="U41" i="2" s="1"/>
  <c r="K90" i="2"/>
  <c r="K89" i="2" s="1"/>
  <c r="R7" i="3"/>
  <c r="S8" i="3"/>
  <c r="R65" i="3"/>
  <c r="Q160" i="3"/>
  <c r="E172" i="3" s="1"/>
  <c r="E173" i="3" s="1"/>
  <c r="S144" i="3"/>
  <c r="S59" i="2"/>
  <c r="U59" i="2" s="1"/>
  <c r="K97" i="2"/>
  <c r="K96" i="2" s="1"/>
  <c r="I178" i="2"/>
  <c r="S66" i="2"/>
  <c r="U66" i="2" s="1"/>
  <c r="S61" i="2"/>
  <c r="S40" i="2"/>
  <c r="U40" i="2" s="1"/>
  <c r="S50" i="2"/>
  <c r="U50" i="2" s="1"/>
  <c r="S29" i="2"/>
  <c r="U29" i="2" s="1"/>
  <c r="S46" i="2"/>
  <c r="U46" i="2" s="1"/>
  <c r="S35" i="2"/>
  <c r="U35" i="2" s="1"/>
  <c r="S27" i="2"/>
  <c r="U27" i="2" s="1"/>
  <c r="S45" i="2"/>
  <c r="U45" i="2" s="1"/>
  <c r="S47" i="2"/>
  <c r="U47" i="2" s="1"/>
  <c r="S68" i="2"/>
  <c r="U68" i="2" s="1"/>
  <c r="S53" i="2"/>
  <c r="U53" i="2" s="1"/>
  <c r="S36" i="2"/>
  <c r="U36" i="2" s="1"/>
  <c r="S44" i="2"/>
  <c r="S72" i="2"/>
  <c r="S71" i="2" s="1"/>
  <c r="S42" i="2"/>
  <c r="U42" i="2" s="1"/>
  <c r="S26" i="2"/>
  <c r="U26" i="2" s="1"/>
  <c r="S69" i="2"/>
  <c r="U69" i="2" s="1"/>
  <c r="S57" i="2"/>
  <c r="U57" i="2" s="1"/>
  <c r="U75" i="2"/>
  <c r="T76" i="2"/>
  <c r="U89" i="2"/>
  <c r="T90" i="2"/>
  <c r="U197" i="2"/>
  <c r="U96" i="2"/>
  <c r="T97" i="2"/>
  <c r="R162" i="2"/>
  <c r="T162" i="2" s="1"/>
  <c r="S162" i="2" s="1"/>
  <c r="R160" i="2"/>
  <c r="T160" i="2" s="1"/>
  <c r="S160" i="2" s="1"/>
  <c r="R135" i="2"/>
  <c r="T135" i="2" s="1"/>
  <c r="S135" i="2" s="1"/>
  <c r="R134" i="2"/>
  <c r="T134" i="2" s="1"/>
  <c r="S134" i="2" s="1"/>
  <c r="R128" i="2"/>
  <c r="T128" i="2" s="1"/>
  <c r="S128" i="2" s="1"/>
  <c r="R127" i="2"/>
  <c r="T127" i="2" s="1"/>
  <c r="S127" i="2" s="1"/>
  <c r="R118" i="2"/>
  <c r="T118" i="2" s="1"/>
  <c r="S118" i="2" s="1"/>
  <c r="R113" i="2"/>
  <c r="T113" i="2" s="1"/>
  <c r="S113" i="2" s="1"/>
  <c r="R152" i="2"/>
  <c r="T152" i="2" s="1"/>
  <c r="S152" i="2" s="1"/>
  <c r="R97" i="2"/>
  <c r="R148" i="2"/>
  <c r="R129" i="2"/>
  <c r="T129" i="2" s="1"/>
  <c r="S129" i="2" s="1"/>
  <c r="R119" i="2"/>
  <c r="T119" i="2" s="1"/>
  <c r="S119" i="2" s="1"/>
  <c r="R104" i="2"/>
  <c r="R103" i="2" s="1"/>
  <c r="R125" i="2"/>
  <c r="T125" i="2" s="1"/>
  <c r="S125" i="2" s="1"/>
  <c r="R176" i="2"/>
  <c r="R163" i="2"/>
  <c r="T163" i="2" s="1"/>
  <c r="S163" i="2" s="1"/>
  <c r="R161" i="2"/>
  <c r="T161" i="2" s="1"/>
  <c r="S161" i="2" s="1"/>
  <c r="R144" i="2"/>
  <c r="R130" i="2"/>
  <c r="T130" i="2" s="1"/>
  <c r="S130" i="2" s="1"/>
  <c r="R120" i="2"/>
  <c r="T120" i="2" s="1"/>
  <c r="S120" i="2" s="1"/>
  <c r="R114" i="2"/>
  <c r="T114" i="2" s="1"/>
  <c r="S114" i="2" s="1"/>
  <c r="R142" i="2"/>
  <c r="T142" i="2" s="1"/>
  <c r="S142" i="2" s="1"/>
  <c r="R126" i="2"/>
  <c r="T126" i="2" s="1"/>
  <c r="S126" i="2" s="1"/>
  <c r="R112" i="2"/>
  <c r="R145" i="2"/>
  <c r="T145" i="2" s="1"/>
  <c r="S145" i="2" s="1"/>
  <c r="R137" i="2"/>
  <c r="R136" i="2" s="1"/>
  <c r="R121" i="2"/>
  <c r="T121" i="2" s="1"/>
  <c r="S121" i="2" s="1"/>
  <c r="R115" i="2"/>
  <c r="T115" i="2" s="1"/>
  <c r="S115" i="2" s="1"/>
  <c r="T164" i="2"/>
  <c r="S164" i="2" s="1"/>
  <c r="R139" i="2"/>
  <c r="T139" i="2" s="1"/>
  <c r="S139" i="2" s="1"/>
  <c r="R138" i="2"/>
  <c r="T138" i="2" s="1"/>
  <c r="S138" i="2" s="1"/>
  <c r="R132" i="2"/>
  <c r="R122" i="2"/>
  <c r="T122" i="2" s="1"/>
  <c r="S122" i="2" s="1"/>
  <c r="R117" i="2"/>
  <c r="T117" i="2" s="1"/>
  <c r="S117" i="2" s="1"/>
  <c r="R150" i="2"/>
  <c r="R146" i="2"/>
  <c r="T146" i="2" s="1"/>
  <c r="S146" i="2" s="1"/>
  <c r="R90" i="2"/>
  <c r="R89" i="2" s="1"/>
  <c r="R159" i="2"/>
  <c r="R151" i="2"/>
  <c r="T151" i="2" s="1"/>
  <c r="S151" i="2" s="1"/>
  <c r="R141" i="2"/>
  <c r="R133" i="2"/>
  <c r="T133" i="2" s="1"/>
  <c r="S133" i="2" s="1"/>
  <c r="R83" i="2"/>
  <c r="R82" i="2" s="1"/>
  <c r="R165" i="2"/>
  <c r="T165" i="2" s="1"/>
  <c r="S165" i="2" s="1"/>
  <c r="T104" i="2"/>
  <c r="U103" i="2"/>
  <c r="U82" i="2"/>
  <c r="T83" i="2"/>
  <c r="AS107" i="9" l="1"/>
  <c r="AH104" i="9"/>
  <c r="AS104" i="9" s="1"/>
  <c r="Q104" i="9"/>
  <c r="R104" i="9" s="1"/>
  <c r="AJ104" i="9"/>
  <c r="AU104" i="9" s="1"/>
  <c r="AI104" i="9"/>
  <c r="AT104" i="9" s="1"/>
  <c r="AL104" i="9"/>
  <c r="AW104" i="9" s="1"/>
  <c r="T110" i="9"/>
  <c r="A111" i="9"/>
  <c r="A112" i="9" s="1"/>
  <c r="AK104" i="9"/>
  <c r="AV104" i="9" s="1"/>
  <c r="A240" i="9"/>
  <c r="S43" i="2"/>
  <c r="U43" i="2" s="1"/>
  <c r="Q178" i="2"/>
  <c r="Q181" i="2" s="1"/>
  <c r="R158" i="2"/>
  <c r="T176" i="2"/>
  <c r="R174" i="2"/>
  <c r="T169" i="2"/>
  <c r="R167" i="2"/>
  <c r="U24" i="2"/>
  <c r="J37" i="8" s="1"/>
  <c r="S65" i="3"/>
  <c r="U65" i="3"/>
  <c r="V65" i="3" s="1"/>
  <c r="Q161" i="3"/>
  <c r="T160" i="3"/>
  <c r="U44" i="2"/>
  <c r="S60" i="2"/>
  <c r="S58" i="2" s="1"/>
  <c r="U72" i="2"/>
  <c r="U71" i="2" s="1"/>
  <c r="K197" i="2"/>
  <c r="R64" i="3"/>
  <c r="U64" i="3" s="1"/>
  <c r="V64" i="3" s="1"/>
  <c r="J177" i="2"/>
  <c r="J199" i="2"/>
  <c r="U30" i="2"/>
  <c r="U61" i="2"/>
  <c r="U60" i="2" s="1"/>
  <c r="U58" i="2" s="1"/>
  <c r="K203" i="2"/>
  <c r="U136" i="2"/>
  <c r="S7" i="3"/>
  <c r="S25" i="2"/>
  <c r="U25" i="2" s="1"/>
  <c r="T103" i="2"/>
  <c r="T106" i="2" s="1"/>
  <c r="U52" i="2"/>
  <c r="U49" i="2" s="1"/>
  <c r="S52" i="2"/>
  <c r="S49" i="2" s="1"/>
  <c r="T89" i="2"/>
  <c r="T92" i="2" s="1"/>
  <c r="S30" i="2"/>
  <c r="K74" i="2"/>
  <c r="K73" i="2" s="1"/>
  <c r="T75" i="2"/>
  <c r="T74" i="2" s="1"/>
  <c r="U198" i="2"/>
  <c r="U74" i="2"/>
  <c r="R111" i="2"/>
  <c r="T112" i="2"/>
  <c r="R143" i="2"/>
  <c r="T144" i="2"/>
  <c r="R147" i="2"/>
  <c r="T148" i="2"/>
  <c r="T197" i="2"/>
  <c r="T159" i="2"/>
  <c r="T132" i="2"/>
  <c r="R131" i="2"/>
  <c r="R96" i="2"/>
  <c r="R73" i="2" s="1"/>
  <c r="T82" i="2"/>
  <c r="T85" i="2" s="1"/>
  <c r="T141" i="2"/>
  <c r="R140" i="2"/>
  <c r="R149" i="2"/>
  <c r="R124" i="2" s="1"/>
  <c r="R123" i="2" s="1"/>
  <c r="T112" i="9" l="1"/>
  <c r="AD112" i="9"/>
  <c r="A113" i="9"/>
  <c r="A241" i="9"/>
  <c r="J178" i="2"/>
  <c r="L75" i="8"/>
  <c r="L81" i="8" s="1"/>
  <c r="S169" i="2"/>
  <c r="S167" i="2" s="1"/>
  <c r="T167" i="2"/>
  <c r="S176" i="2"/>
  <c r="S174" i="2" s="1"/>
  <c r="T174" i="2"/>
  <c r="R153" i="2"/>
  <c r="V73" i="2"/>
  <c r="T24" i="2"/>
  <c r="S24" i="2" s="1"/>
  <c r="T137" i="2"/>
  <c r="S64" i="3"/>
  <c r="R160" i="3"/>
  <c r="F172" i="3" s="1"/>
  <c r="T96" i="2"/>
  <c r="T99" i="2" s="1"/>
  <c r="K199" i="2"/>
  <c r="K177" i="2"/>
  <c r="R110" i="2"/>
  <c r="S148" i="2"/>
  <c r="S147" i="2" s="1"/>
  <c r="T147" i="2"/>
  <c r="S144" i="2"/>
  <c r="S143" i="2" s="1"/>
  <c r="T143" i="2"/>
  <c r="T131" i="2"/>
  <c r="S132" i="2"/>
  <c r="S131" i="2" s="1"/>
  <c r="T140" i="2"/>
  <c r="S141" i="2"/>
  <c r="S140" i="2" s="1"/>
  <c r="U73" i="2"/>
  <c r="J38" i="8" s="1"/>
  <c r="T78" i="2"/>
  <c r="T198" i="2" s="1"/>
  <c r="T111" i="2"/>
  <c r="S112" i="2"/>
  <c r="S111" i="2" s="1"/>
  <c r="S159" i="2"/>
  <c r="T113" i="9" l="1"/>
  <c r="A114" i="9"/>
  <c r="A242" i="9"/>
  <c r="G172" i="3"/>
  <c r="G173" i="3" s="1"/>
  <c r="F173" i="3"/>
  <c r="R177" i="2"/>
  <c r="R178" i="2" s="1"/>
  <c r="R182" i="2" s="1"/>
  <c r="R161" i="3"/>
  <c r="U160" i="3"/>
  <c r="V160" i="3" s="1"/>
  <c r="V74" i="2"/>
  <c r="T73" i="2"/>
  <c r="T136" i="2"/>
  <c r="S137" i="2"/>
  <c r="S136" i="2" s="1"/>
  <c r="K204" i="2"/>
  <c r="V166" i="2" s="1"/>
  <c r="K178" i="2"/>
  <c r="T114" i="9" l="1"/>
  <c r="A115" i="9"/>
  <c r="A243" i="9"/>
  <c r="R181" i="2"/>
  <c r="T166" i="2"/>
  <c r="U158" i="2"/>
  <c r="U167" i="2"/>
  <c r="S74" i="2"/>
  <c r="S73" i="2" s="1"/>
  <c r="U149" i="2"/>
  <c r="T150" i="2"/>
  <c r="T115" i="9" l="1"/>
  <c r="AD115" i="9"/>
  <c r="A116" i="9"/>
  <c r="A244" i="9"/>
  <c r="A245" i="9" s="1"/>
  <c r="S166" i="2"/>
  <c r="S158" i="2" s="1"/>
  <c r="S153" i="2" s="1"/>
  <c r="T158" i="2"/>
  <c r="T153" i="2" s="1"/>
  <c r="U153" i="2"/>
  <c r="T149" i="2"/>
  <c r="S150" i="2"/>
  <c r="S149" i="2" s="1"/>
  <c r="T116" i="9" l="1"/>
  <c r="AD116" i="9"/>
  <c r="A117" i="9"/>
  <c r="A246" i="9"/>
  <c r="U123" i="2"/>
  <c r="U110" i="2" s="1"/>
  <c r="U177" i="2" s="1"/>
  <c r="W124" i="2"/>
  <c r="T124" i="2"/>
  <c r="T117" i="9" l="1"/>
  <c r="AD117" i="9"/>
  <c r="A118" i="9"/>
  <c r="A119" i="9" s="1"/>
  <c r="A247" i="9"/>
  <c r="U199" i="2"/>
  <c r="U178" i="2"/>
  <c r="U181" i="2" s="1"/>
  <c r="J36" i="8"/>
  <c r="J40" i="8" s="1"/>
  <c r="S124" i="2"/>
  <c r="S123" i="2" s="1"/>
  <c r="S110" i="2" s="1"/>
  <c r="S177" i="2" s="1"/>
  <c r="S178" i="2" s="1"/>
  <c r="T123" i="2"/>
  <c r="T110" i="2" s="1"/>
  <c r="T177" i="2" s="1"/>
  <c r="T178" i="2" s="1"/>
  <c r="T182" i="2" s="1"/>
  <c r="T119" i="9" l="1"/>
  <c r="AD119" i="9"/>
  <c r="A120" i="9"/>
  <c r="A248" i="9"/>
  <c r="S181" i="2"/>
  <c r="S182" i="2"/>
  <c r="T181" i="2"/>
  <c r="AD120" i="9" l="1"/>
  <c r="T120" i="9"/>
  <c r="A121" i="9"/>
  <c r="A249" i="9"/>
  <c r="A250" i="9" s="1"/>
  <c r="A251" i="9" s="1"/>
  <c r="A252" i="9" s="1"/>
  <c r="A253" i="9" s="1"/>
  <c r="A254" i="9" s="1"/>
  <c r="A255" i="9" s="1"/>
  <c r="T121" i="9" l="1"/>
  <c r="AD121" i="9"/>
  <c r="A122" i="9"/>
  <c r="AK255" i="9"/>
  <c r="AJ255" i="9"/>
  <c r="AI255" i="9"/>
  <c r="AH255" i="9"/>
  <c r="AG255" i="9"/>
  <c r="A256" i="9"/>
  <c r="A257" i="9" s="1"/>
  <c r="A258" i="9" s="1"/>
  <c r="A259" i="9" s="1"/>
  <c r="A260" i="9" s="1"/>
  <c r="A261" i="9" s="1"/>
  <c r="A262" i="9" s="1"/>
  <c r="A263" i="9" s="1"/>
  <c r="AF255" i="9"/>
  <c r="AM255" i="9"/>
  <c r="AL255" i="9"/>
  <c r="AE255" i="9"/>
  <c r="T122" i="9" l="1"/>
  <c r="AD122" i="9"/>
  <c r="A123" i="9"/>
  <c r="A124" i="9" s="1"/>
  <c r="A125" i="9" s="1"/>
  <c r="A126" i="9" s="1"/>
  <c r="A127" i="9" s="1"/>
  <c r="A128" i="9" s="1"/>
  <c r="A129" i="9" s="1"/>
  <c r="AL261" i="9"/>
  <c r="AL256" i="9"/>
  <c r="AL258" i="9" s="1"/>
  <c r="AL259" i="9" s="1"/>
  <c r="AL262" i="9"/>
  <c r="AW262" i="9" s="1"/>
  <c r="AM262" i="9"/>
  <c r="AM256" i="9"/>
  <c r="AM258" i="9" s="1"/>
  <c r="AM259" i="9" s="1"/>
  <c r="AM261" i="9"/>
  <c r="A264" i="9"/>
  <c r="A265" i="9" s="1"/>
  <c r="A266" i="9" s="1"/>
  <c r="A267" i="9" s="1"/>
  <c r="AF263" i="9"/>
  <c r="AF266" i="9" s="1"/>
  <c r="AM263" i="9"/>
  <c r="AE263" i="9"/>
  <c r="AE266" i="9" s="1"/>
  <c r="AL263" i="9"/>
  <c r="AK263" i="9"/>
  <c r="AJ263" i="9"/>
  <c r="AI263" i="9"/>
  <c r="AG263" i="9"/>
  <c r="AG266" i="9" s="1"/>
  <c r="AH263" i="9"/>
  <c r="AG258" i="9"/>
  <c r="AJ262" i="9"/>
  <c r="AU262" i="9" s="1"/>
  <c r="AJ256" i="9"/>
  <c r="AJ258" i="9" s="1"/>
  <c r="AJ259" i="9" s="1"/>
  <c r="AJ261" i="9"/>
  <c r="AE258" i="9"/>
  <c r="AI262" i="9"/>
  <c r="AT262" i="9" s="1"/>
  <c r="AI256" i="9"/>
  <c r="AI258" i="9" s="1"/>
  <c r="AI259" i="9" s="1"/>
  <c r="AI261" i="9"/>
  <c r="AH262" i="9"/>
  <c r="AS262" i="9" s="1"/>
  <c r="AH256" i="9"/>
  <c r="AH258" i="9" s="1"/>
  <c r="AH259" i="9" s="1"/>
  <c r="AH261" i="9"/>
  <c r="AK261" i="9"/>
  <c r="AK262" i="9"/>
  <c r="AV262" i="9" s="1"/>
  <c r="AK256" i="9"/>
  <c r="AK258" i="9" s="1"/>
  <c r="AK259" i="9" s="1"/>
  <c r="AF258" i="9"/>
  <c r="V129" i="9" l="1"/>
  <c r="V132" i="9" s="1"/>
  <c r="AD129" i="9"/>
  <c r="AD130" i="9" s="1"/>
  <c r="AD132" i="9" s="1"/>
  <c r="O129" i="9"/>
  <c r="O130" i="9" s="1"/>
  <c r="O132" i="9" s="1"/>
  <c r="X129" i="9"/>
  <c r="P129" i="9"/>
  <c r="Y129" i="9"/>
  <c r="U129" i="9"/>
  <c r="U132" i="9" s="1"/>
  <c r="Q129" i="9"/>
  <c r="Z129" i="9"/>
  <c r="AC129" i="9"/>
  <c r="S129" i="9"/>
  <c r="S132" i="9" s="1"/>
  <c r="AA129" i="9"/>
  <c r="T129" i="9"/>
  <c r="T132" i="9" s="1"/>
  <c r="AB129" i="9"/>
  <c r="W129" i="9"/>
  <c r="W132" i="9" s="1"/>
  <c r="AH129" i="9"/>
  <c r="A130" i="9"/>
  <c r="A131" i="9" s="1"/>
  <c r="A132" i="9" s="1"/>
  <c r="A133" i="9" s="1"/>
  <c r="A134" i="9" s="1"/>
  <c r="A135" i="9" s="1"/>
  <c r="A136" i="9" s="1"/>
  <c r="A137" i="9" s="1"/>
  <c r="AG129" i="9"/>
  <c r="AG132" i="9" s="1"/>
  <c r="AF129" i="9"/>
  <c r="AF132" i="9" s="1"/>
  <c r="AJ129" i="9"/>
  <c r="AL129" i="9"/>
  <c r="AE129" i="9"/>
  <c r="AE132" i="9" s="1"/>
  <c r="AI129" i="9"/>
  <c r="AM129" i="9"/>
  <c r="AK129" i="9"/>
  <c r="AM264" i="9"/>
  <c r="AM265" i="9"/>
  <c r="AM267" i="9"/>
  <c r="AM266" i="9"/>
  <c r="AK267" i="9"/>
  <c r="AK264" i="9"/>
  <c r="AK266" i="9" s="1"/>
  <c r="AK265" i="9"/>
  <c r="AI267" i="9"/>
  <c r="AI264" i="9"/>
  <c r="AI266" i="9" s="1"/>
  <c r="AI265" i="9"/>
  <c r="AH267" i="9"/>
  <c r="AH264" i="9"/>
  <c r="AH266" i="9" s="1"/>
  <c r="AH265" i="9"/>
  <c r="AL267" i="9"/>
  <c r="AL266" i="9"/>
  <c r="AL264" i="9"/>
  <c r="AL265" i="9"/>
  <c r="AJ267" i="9"/>
  <c r="AJ264" i="9"/>
  <c r="AJ266" i="9" s="1"/>
  <c r="AJ265" i="9"/>
  <c r="AM130" i="9" l="1"/>
  <c r="AM132" i="9" s="1"/>
  <c r="AM133" i="9" s="1"/>
  <c r="AM136" i="9"/>
  <c r="AM135" i="9"/>
  <c r="AH130" i="9"/>
  <c r="AH135" i="9"/>
  <c r="AH132" i="9"/>
  <c r="AH133" i="9" s="1"/>
  <c r="AH136" i="9"/>
  <c r="AS136" i="9" s="1"/>
  <c r="R129" i="9"/>
  <c r="Q130" i="9"/>
  <c r="Q132" i="9" s="1"/>
  <c r="R132" i="9" s="1"/>
  <c r="AI130" i="9"/>
  <c r="AI135" i="9"/>
  <c r="AI132" i="9"/>
  <c r="AI133" i="9" s="1"/>
  <c r="AI136" i="9"/>
  <c r="AT136" i="9" s="1"/>
  <c r="AB135" i="9"/>
  <c r="AB130" i="9"/>
  <c r="AB132" i="9" s="1"/>
  <c r="AB133" i="9" s="1"/>
  <c r="AB136" i="9"/>
  <c r="Y130" i="9"/>
  <c r="Y136" i="9"/>
  <c r="Y132" i="9"/>
  <c r="Y133" i="9" s="1"/>
  <c r="Y135" i="9"/>
  <c r="AL132" i="9"/>
  <c r="AL133" i="9" s="1"/>
  <c r="AL136" i="9"/>
  <c r="AW136" i="9" s="1"/>
  <c r="AL130" i="9"/>
  <c r="AL135" i="9"/>
  <c r="P130" i="9"/>
  <c r="P132" i="9"/>
  <c r="AJ135" i="9"/>
  <c r="AJ130" i="9"/>
  <c r="AJ132" i="9" s="1"/>
  <c r="AJ133" i="9" s="1"/>
  <c r="AJ136" i="9"/>
  <c r="AU136" i="9" s="1"/>
  <c r="AA130" i="9"/>
  <c r="AA132" i="9" s="1"/>
  <c r="AA133" i="9" s="1"/>
  <c r="AA136" i="9"/>
  <c r="AA135" i="9"/>
  <c r="X130" i="9"/>
  <c r="X132" i="9"/>
  <c r="X133" i="9" s="1"/>
  <c r="X136" i="9"/>
  <c r="X135" i="9"/>
  <c r="AC135" i="9"/>
  <c r="AC130" i="9"/>
  <c r="AC132" i="9" s="1"/>
  <c r="AC133" i="9" s="1"/>
  <c r="AC136" i="9"/>
  <c r="AK135" i="9"/>
  <c r="AK130" i="9"/>
  <c r="AK136" i="9"/>
  <c r="AV136" i="9" s="1"/>
  <c r="AK132" i="9"/>
  <c r="AK133" i="9" s="1"/>
  <c r="P137" i="9"/>
  <c r="Y137" i="9"/>
  <c r="S137" i="9"/>
  <c r="S140" i="9" s="1"/>
  <c r="AA137" i="9"/>
  <c r="O137" i="9"/>
  <c r="O140" i="9" s="1"/>
  <c r="T137" i="9"/>
  <c r="T140" i="9" s="1"/>
  <c r="AB137" i="9"/>
  <c r="U137" i="9"/>
  <c r="U140" i="9" s="1"/>
  <c r="AC137" i="9"/>
  <c r="X137" i="9"/>
  <c r="V137" i="9"/>
  <c r="V140" i="9" s="1"/>
  <c r="AD137" i="9"/>
  <c r="W137" i="9"/>
  <c r="W140" i="9" s="1"/>
  <c r="Z137" i="9"/>
  <c r="Q137" i="9"/>
  <c r="AH137" i="9"/>
  <c r="AI137" i="9"/>
  <c r="AG137" i="9"/>
  <c r="AG140" i="9" s="1"/>
  <c r="AF137" i="9"/>
  <c r="AF140" i="9" s="1"/>
  <c r="AJ137" i="9"/>
  <c r="AE137" i="9"/>
  <c r="AE140" i="9" s="1"/>
  <c r="A138" i="9"/>
  <c r="A139" i="9" s="1"/>
  <c r="A140" i="9" s="1"/>
  <c r="A141" i="9" s="1"/>
  <c r="AM137" i="9"/>
  <c r="AL137" i="9"/>
  <c r="AK137" i="9"/>
  <c r="Z135" i="9"/>
  <c r="Z130" i="9"/>
  <c r="Z132" i="9" s="1"/>
  <c r="Z133" i="9" s="1"/>
  <c r="Z136" i="9"/>
  <c r="X141" i="9" l="1"/>
  <c r="X139" i="9"/>
  <c r="X138" i="9"/>
  <c r="X140" i="9" s="1"/>
  <c r="Y138" i="9"/>
  <c r="Y140" i="9" s="1"/>
  <c r="Y141" i="9"/>
  <c r="Y139" i="9"/>
  <c r="AI139" i="9"/>
  <c r="AI138" i="9"/>
  <c r="AI140" i="9" s="1"/>
  <c r="AI141" i="9"/>
  <c r="AC138" i="9"/>
  <c r="AC141" i="9"/>
  <c r="AC140" i="9"/>
  <c r="AC139" i="9"/>
  <c r="P138" i="9"/>
  <c r="P140" i="9" s="1"/>
  <c r="AL141" i="9"/>
  <c r="AL138" i="9"/>
  <c r="AL140" i="9" s="1"/>
  <c r="AL139" i="9"/>
  <c r="AH138" i="9"/>
  <c r="AH140" i="9" s="1"/>
  <c r="AH139" i="9"/>
  <c r="AH141" i="9"/>
  <c r="AM141" i="9"/>
  <c r="AM138" i="9"/>
  <c r="AM140" i="9" s="1"/>
  <c r="AM139" i="9"/>
  <c r="Q138" i="9"/>
  <c r="R137" i="9"/>
  <c r="AB141" i="9"/>
  <c r="AB139" i="9"/>
  <c r="AB138" i="9"/>
  <c r="AB140" i="9" s="1"/>
  <c r="AK139" i="9"/>
  <c r="AK138" i="9"/>
  <c r="AK140" i="9" s="1"/>
  <c r="AK141" i="9"/>
  <c r="Z139" i="9"/>
  <c r="Z141" i="9"/>
  <c r="Z138" i="9"/>
  <c r="Z140" i="9" s="1"/>
  <c r="AJ140" i="9"/>
  <c r="AJ141" i="9"/>
  <c r="AJ138" i="9"/>
  <c r="AJ139" i="9"/>
  <c r="AD138" i="9"/>
  <c r="AD140" i="9"/>
  <c r="AA138" i="9"/>
  <c r="AA140" i="9" s="1"/>
  <c r="AA139" i="9"/>
  <c r="AA141" i="9"/>
  <c r="R130" i="9"/>
  <c r="R138" i="9" l="1"/>
  <c r="Q140" i="9"/>
  <c r="R140" i="9" s="1"/>
  <c r="T79" i="9"/>
  <c r="T67" i="9" s="1"/>
  <c r="AB79" i="9"/>
  <c r="AB67" i="9" s="1"/>
  <c r="U79" i="9"/>
  <c r="U67" i="9" s="1"/>
  <c r="AC79" i="9"/>
  <c r="AC67" i="9" s="1"/>
  <c r="V79" i="9"/>
  <c r="V67" i="9" s="1"/>
  <c r="AD79" i="9"/>
  <c r="AD67" i="9" s="1"/>
  <c r="O79" i="9"/>
  <c r="O67" i="9" s="1"/>
  <c r="W79" i="9"/>
  <c r="W67" i="9" s="1"/>
  <c r="P79" i="9"/>
  <c r="P67" i="9" s="1"/>
  <c r="X79" i="9"/>
  <c r="X67" i="9" s="1"/>
  <c r="S79" i="9"/>
  <c r="S67" i="9" s="1"/>
  <c r="AA79" i="9"/>
  <c r="AA67" i="9" s="1"/>
  <c r="Q79" i="9"/>
  <c r="Y79" i="9"/>
  <c r="Y67" i="9" s="1"/>
  <c r="Z79" i="9"/>
  <c r="Z67" i="9" s="1"/>
  <c r="AF205" i="9"/>
  <c r="AI79" i="9"/>
  <c r="AL79" i="9"/>
  <c r="AM79" i="9"/>
  <c r="AM67" i="9" s="1"/>
  <c r="AE79" i="9"/>
  <c r="AM205" i="9"/>
  <c r="AM193" i="9" s="1"/>
  <c r="AF79" i="9"/>
  <c r="AK205" i="9"/>
  <c r="AJ205" i="9"/>
  <c r="AK79" i="9"/>
  <c r="AJ79" i="9"/>
  <c r="AG205" i="9"/>
  <c r="AL205" i="9"/>
  <c r="AH79" i="9"/>
  <c r="AI205" i="9"/>
  <c r="AH205" i="9"/>
  <c r="AE205" i="9"/>
  <c r="AG79" i="9"/>
  <c r="R136" i="9" l="1"/>
  <c r="Q101" i="9"/>
  <c r="V101" i="9"/>
  <c r="V125" i="9" s="1"/>
  <c r="AA101" i="9"/>
  <c r="AA125" i="9" s="1"/>
  <c r="Y101" i="9"/>
  <c r="Y125" i="9" s="1"/>
  <c r="R79" i="9"/>
  <c r="Q67" i="9"/>
  <c r="AB101" i="9"/>
  <c r="AB125" i="9" s="1"/>
  <c r="AD101" i="9"/>
  <c r="AD125" i="9" s="1"/>
  <c r="P101" i="9"/>
  <c r="P125" i="9" s="1"/>
  <c r="S101" i="9"/>
  <c r="S125" i="9" s="1"/>
  <c r="U101" i="9"/>
  <c r="U125" i="9" s="1"/>
  <c r="O101" i="9"/>
  <c r="O125" i="9" s="1"/>
  <c r="X101" i="9"/>
  <c r="X125" i="9" s="1"/>
  <c r="Z101" i="9"/>
  <c r="Z125" i="9" s="1"/>
  <c r="AC101" i="9"/>
  <c r="AC125" i="9" s="1"/>
  <c r="W101" i="9"/>
  <c r="W125" i="9" s="1"/>
  <c r="T101" i="9"/>
  <c r="T125" i="9" s="1"/>
  <c r="AI101" i="9"/>
  <c r="AT101" i="9" s="1"/>
  <c r="AL101" i="9"/>
  <c r="AW101" i="9" s="1"/>
  <c r="AE101" i="9"/>
  <c r="AH101" i="9"/>
  <c r="AS101" i="9" s="1"/>
  <c r="AS205" i="9"/>
  <c r="AH193" i="9"/>
  <c r="AS79" i="9"/>
  <c r="AH67" i="9"/>
  <c r="AV205" i="9"/>
  <c r="AK193" i="9"/>
  <c r="AQ205" i="9"/>
  <c r="AF193" i="9"/>
  <c r="AF227" i="9"/>
  <c r="AU79" i="9"/>
  <c r="AJ67" i="9"/>
  <c r="AO205" i="9"/>
  <c r="AP79" i="9"/>
  <c r="AE67" i="9"/>
  <c r="AG101" i="9"/>
  <c r="AE227" i="9"/>
  <c r="AO227" i="9" s="1"/>
  <c r="AU205" i="9"/>
  <c r="AJ193" i="9"/>
  <c r="AT205" i="9"/>
  <c r="AI193" i="9"/>
  <c r="AN79" i="9"/>
  <c r="AO79" i="9"/>
  <c r="AI227" i="9"/>
  <c r="AT227" i="9" s="1"/>
  <c r="AK227" i="9"/>
  <c r="AV227" i="9" s="1"/>
  <c r="AF101" i="9"/>
  <c r="AW205" i="9"/>
  <c r="AL193" i="9"/>
  <c r="AV79" i="9"/>
  <c r="AK67" i="9"/>
  <c r="AQ79" i="9"/>
  <c r="AF67" i="9"/>
  <c r="AW79" i="9"/>
  <c r="AL67" i="9"/>
  <c r="AJ101" i="9"/>
  <c r="AU101" i="9" s="1"/>
  <c r="AR79" i="9"/>
  <c r="AG67" i="9"/>
  <c r="AN205" i="9"/>
  <c r="AR205" i="9"/>
  <c r="AG193" i="9"/>
  <c r="AM227" i="9"/>
  <c r="AM251" i="9" s="1"/>
  <c r="AG227" i="9"/>
  <c r="AT79" i="9"/>
  <c r="AI67" i="9"/>
  <c r="AJ227" i="9"/>
  <c r="AU227" i="9" s="1"/>
  <c r="AK101" i="9"/>
  <c r="AV101" i="9" s="1"/>
  <c r="AP205" i="9"/>
  <c r="AE193" i="9"/>
  <c r="AH227" i="9"/>
  <c r="AS227" i="9" s="1"/>
  <c r="AL227" i="9"/>
  <c r="AW227" i="9" s="1"/>
  <c r="AM101" i="9"/>
  <c r="AM125" i="9" s="1"/>
  <c r="AO101" i="9" l="1"/>
  <c r="W124" i="9"/>
  <c r="W126" i="9"/>
  <c r="W136" i="9" s="1"/>
  <c r="AD124" i="9"/>
  <c r="AD126" i="9"/>
  <c r="AC124" i="9"/>
  <c r="AC126" i="9"/>
  <c r="AB124" i="9"/>
  <c r="AB126" i="9"/>
  <c r="Z124" i="9"/>
  <c r="Z126" i="9"/>
  <c r="X124" i="9"/>
  <c r="X126" i="9"/>
  <c r="Y124" i="9"/>
  <c r="Y126" i="9"/>
  <c r="U124" i="9"/>
  <c r="U126" i="9"/>
  <c r="U136" i="9" s="1"/>
  <c r="AA124" i="9"/>
  <c r="AA126" i="9"/>
  <c r="O124" i="9"/>
  <c r="O126" i="9"/>
  <c r="O136" i="9" s="1"/>
  <c r="S124" i="9"/>
  <c r="S126" i="9"/>
  <c r="V124" i="9"/>
  <c r="V126" i="9"/>
  <c r="V136" i="9" s="1"/>
  <c r="T124" i="9"/>
  <c r="T126" i="9"/>
  <c r="P124" i="9"/>
  <c r="P126" i="9"/>
  <c r="AR101" i="9"/>
  <c r="R67" i="9"/>
  <c r="Q125" i="9"/>
  <c r="R101" i="9"/>
  <c r="AP227" i="9"/>
  <c r="AR227" i="9"/>
  <c r="AN227" i="9"/>
  <c r="AQ101" i="9"/>
  <c r="AM252" i="9"/>
  <c r="AM250" i="9"/>
  <c r="AM126" i="9"/>
  <c r="AM124" i="9"/>
  <c r="AE251" i="9"/>
  <c r="AP193" i="9"/>
  <c r="AU67" i="9"/>
  <c r="AJ125" i="9"/>
  <c r="AG125" i="9"/>
  <c r="AR67" i="9"/>
  <c r="AN101" i="9"/>
  <c r="AE125" i="9"/>
  <c r="AP67" i="9"/>
  <c r="AW67" i="9"/>
  <c r="AL125" i="9"/>
  <c r="AO67" i="9"/>
  <c r="AQ227" i="9"/>
  <c r="AV193" i="9"/>
  <c r="AK251" i="9"/>
  <c r="AP101" i="9"/>
  <c r="AU193" i="9"/>
  <c r="AJ251" i="9"/>
  <c r="AO193" i="9"/>
  <c r="AS67" i="9"/>
  <c r="AH125" i="9"/>
  <c r="AW193" i="9"/>
  <c r="AL251" i="9"/>
  <c r="AF125" i="9"/>
  <c r="AQ67" i="9"/>
  <c r="AN67" i="9"/>
  <c r="AG251" i="9"/>
  <c r="AR193" i="9"/>
  <c r="AF251" i="9"/>
  <c r="AQ193" i="9"/>
  <c r="AS193" i="9"/>
  <c r="AH251" i="9"/>
  <c r="AT67" i="9"/>
  <c r="AI125" i="9"/>
  <c r="AV67" i="9"/>
  <c r="AK125" i="9"/>
  <c r="AN193" i="9"/>
  <c r="AT193" i="9"/>
  <c r="AI251" i="9"/>
  <c r="Q124" i="9" l="1"/>
  <c r="R124" i="9" s="1"/>
  <c r="Q126" i="9"/>
  <c r="R125" i="9"/>
  <c r="R126" i="9" s="1"/>
  <c r="S135" i="9"/>
  <c r="S136" i="9"/>
  <c r="P136" i="9"/>
  <c r="P135" i="9"/>
  <c r="P133" i="9"/>
  <c r="P134" i="9" s="1"/>
  <c r="AD135" i="9"/>
  <c r="AD136" i="9"/>
  <c r="AD133" i="9"/>
  <c r="AD134" i="9" s="1"/>
  <c r="T135" i="9"/>
  <c r="T133" i="9"/>
  <c r="T134" i="9" s="1"/>
  <c r="T136" i="9"/>
  <c r="AK124" i="9"/>
  <c r="AK126" i="9"/>
  <c r="AV126" i="9" s="1"/>
  <c r="AV125" i="9"/>
  <c r="AF126" i="9"/>
  <c r="AQ125" i="9"/>
  <c r="AF124" i="9"/>
  <c r="AO251" i="9"/>
  <c r="AK250" i="9"/>
  <c r="AK252" i="9"/>
  <c r="AV252" i="9" s="1"/>
  <c r="AV251" i="9"/>
  <c r="AE126" i="9"/>
  <c r="AP125" i="9"/>
  <c r="AE124" i="9"/>
  <c r="AJ124" i="9"/>
  <c r="AJ126" i="9"/>
  <c r="AU126" i="9" s="1"/>
  <c r="AU125" i="9"/>
  <c r="AG250" i="9"/>
  <c r="AG252" i="9"/>
  <c r="AR251" i="9"/>
  <c r="AQ251" i="9"/>
  <c r="AF250" i="9"/>
  <c r="AF252" i="9"/>
  <c r="AI124" i="9"/>
  <c r="AT125" i="9"/>
  <c r="AI126" i="9"/>
  <c r="AT126" i="9" s="1"/>
  <c r="AJ250" i="9"/>
  <c r="AJ252" i="9"/>
  <c r="AU252" i="9" s="1"/>
  <c r="AU251" i="9"/>
  <c r="AN125" i="9"/>
  <c r="AL252" i="9"/>
  <c r="AW252" i="9" s="1"/>
  <c r="AW251" i="9"/>
  <c r="AL250" i="9"/>
  <c r="AO125" i="9"/>
  <c r="AI250" i="9"/>
  <c r="AI252" i="9"/>
  <c r="AT252" i="9" s="1"/>
  <c r="AT251" i="9"/>
  <c r="AL126" i="9"/>
  <c r="AW126" i="9" s="1"/>
  <c r="AW125" i="9"/>
  <c r="AL124" i="9"/>
  <c r="AR125" i="9"/>
  <c r="AG126" i="9"/>
  <c r="AG124" i="9"/>
  <c r="AE252" i="9"/>
  <c r="AP251" i="9"/>
  <c r="AE250" i="9"/>
  <c r="AS125" i="9"/>
  <c r="AH126" i="9"/>
  <c r="AS126" i="9" s="1"/>
  <c r="AH124" i="9"/>
  <c r="AN251" i="9"/>
  <c r="AH250" i="9"/>
  <c r="AH252" i="9"/>
  <c r="AS252" i="9" s="1"/>
  <c r="AS251" i="9"/>
  <c r="Q136" i="9" l="1"/>
  <c r="Q135" i="9"/>
  <c r="R135" i="9" s="1"/>
  <c r="Q133" i="9"/>
  <c r="AR252" i="9"/>
  <c r="AG262" i="9"/>
  <c r="AR262" i="9" s="1"/>
  <c r="AP252" i="9"/>
  <c r="AE262" i="9"/>
  <c r="AQ126" i="9"/>
  <c r="AF136" i="9"/>
  <c r="AN252" i="9"/>
  <c r="AR126" i="9"/>
  <c r="AG136" i="9"/>
  <c r="AR136" i="9" s="1"/>
  <c r="AQ252" i="9"/>
  <c r="AF262" i="9"/>
  <c r="AQ262" i="9" s="1"/>
  <c r="AN126" i="9"/>
  <c r="AO252" i="9"/>
  <c r="AP126" i="9"/>
  <c r="AE136" i="9"/>
  <c r="AO126" i="9"/>
  <c r="Q134" i="9" l="1"/>
  <c r="R133" i="9"/>
  <c r="AP136" i="9"/>
  <c r="AO136" i="9"/>
  <c r="AN262" i="9"/>
  <c r="AP262" i="9"/>
  <c r="AN136" i="9"/>
  <c r="AO262" i="9"/>
  <c r="AQ136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N157" authorId="0" shapeId="0" xr:uid="{32D0C248-B3BA-44CF-974D-E9923444EA10}">
      <text>
        <r>
          <rPr>
            <b/>
            <sz val="14"/>
            <color indexed="81"/>
            <rFont val="Tahoma"/>
            <family val="2"/>
            <charset val="204"/>
          </rPr>
          <t>дано только на 2023 год</t>
        </r>
      </text>
    </comment>
  </commentList>
</comments>
</file>

<file path=xl/sharedStrings.xml><?xml version="1.0" encoding="utf-8"?>
<sst xmlns="http://schemas.openxmlformats.org/spreadsheetml/2006/main" count="2591" uniqueCount="960">
  <si>
    <t xml:space="preserve">2-ый ДПР с </t>
  </si>
  <si>
    <t>№ п/п</t>
  </si>
  <si>
    <t>Показатели</t>
  </si>
  <si>
    <t>Ед.изм.</t>
  </si>
  <si>
    <r>
      <t xml:space="preserve">Первый год </t>
    </r>
    <r>
      <rPr>
        <b/>
        <sz val="14"/>
        <color indexed="10"/>
        <rFont val="Tahoma"/>
        <family val="2"/>
        <charset val="204"/>
      </rPr>
      <t xml:space="preserve">первого </t>
    </r>
    <r>
      <rPr>
        <b/>
        <sz val="14"/>
        <rFont val="Tahoma"/>
        <family val="2"/>
        <charset val="204"/>
      </rPr>
      <t>долгосрочного периода регулирования</t>
    </r>
  </si>
  <si>
    <t>Утверждено на долгосрочный период регулирования</t>
  </si>
  <si>
    <t>План                                       (в среднем за год)</t>
  </si>
  <si>
    <t>Факт по данным организации</t>
  </si>
  <si>
    <t>Факт, принятый для корректировки с учетом подтвержадющих документов</t>
  </si>
  <si>
    <t>предложение предприятия</t>
  </si>
  <si>
    <t>предложение регулятора</t>
  </si>
  <si>
    <t>Натуральные показатели</t>
  </si>
  <si>
    <t>1.1</t>
  </si>
  <si>
    <t>Объем сточных вод, принятых у абонентов, всего</t>
  </si>
  <si>
    <t>тыс.куб.м</t>
  </si>
  <si>
    <t>1.1.1</t>
  </si>
  <si>
    <t xml:space="preserve">    от подразделений предприятия (собственных абонентов)</t>
  </si>
  <si>
    <t>1.1.2</t>
  </si>
  <si>
    <t xml:space="preserve"> от бюджетных потребителей</t>
  </si>
  <si>
    <t>1.1.3</t>
  </si>
  <si>
    <t xml:space="preserve"> от прочих потребителей</t>
  </si>
  <si>
    <t>1.1.4</t>
  </si>
  <si>
    <t xml:space="preserve">  от населения</t>
  </si>
  <si>
    <t>1.2</t>
  </si>
  <si>
    <t>Объем транспортируемых сточных вод, всего</t>
  </si>
  <si>
    <t>1.2.1</t>
  </si>
  <si>
    <t>на собственные очистные сооружения (прошедших очистку на собственных очистных сооружениях)</t>
  </si>
  <si>
    <t>1.2.2</t>
  </si>
  <si>
    <t>передано на очистку другим организациям</t>
  </si>
  <si>
    <t>ОПР по КС/1 год ДПР</t>
  </si>
  <si>
    <t>Операционные расходы</t>
  </si>
  <si>
    <t>тыс. руб.</t>
  </si>
  <si>
    <t>Расходы на приобретение сырья и материалов и их хранение</t>
  </si>
  <si>
    <t>Реагенты</t>
  </si>
  <si>
    <t>Горюче-смазочные материалы</t>
  </si>
  <si>
    <t>Материалы и малоценные основные средства</t>
  </si>
  <si>
    <t>Расходы на оплату работ и услуг, выполняемых сторонними организациями, связанные с эксплуатацией централизованных систем водоотведения</t>
  </si>
  <si>
    <t>1.3</t>
  </si>
  <si>
    <t>Расходы на оплату труда и отчисления на социальные нужды основного производственного персонала</t>
  </si>
  <si>
    <t>1.3.1</t>
  </si>
  <si>
    <t>Расходы на оплату труда производственного персонала</t>
  </si>
  <si>
    <t>численность производственного персонала</t>
  </si>
  <si>
    <t>ед.</t>
  </si>
  <si>
    <t>среднемесячная оплата труда производственного персонала</t>
  </si>
  <si>
    <t>руб.</t>
  </si>
  <si>
    <t>Отчисления на социальные нужды производственного персонала</t>
  </si>
  <si>
    <t>%</t>
  </si>
  <si>
    <t>1.3.2</t>
  </si>
  <si>
    <t>Расходы на оплату труда цехового персонала</t>
  </si>
  <si>
    <t>численность цехового персонала</t>
  </si>
  <si>
    <t>среднемесячная оплата труда цехового персонала</t>
  </si>
  <si>
    <t>Отчисления на социальные нужды цехового персонала</t>
  </si>
  <si>
    <t>1.4</t>
  </si>
  <si>
    <t>Расходы на уплату процентов по займам и кредитам</t>
  </si>
  <si>
    <t>1.5</t>
  </si>
  <si>
    <t>Общехозяйственные расходы</t>
  </si>
  <si>
    <t>1.6</t>
  </si>
  <si>
    <t>Прочие производственные расходы</t>
  </si>
  <si>
    <t>1.6.1</t>
  </si>
  <si>
    <t>Услуги по обращению с осадком сточных вод</t>
  </si>
  <si>
    <t>1.6.2</t>
  </si>
  <si>
    <t>Расходы на амортизацию автотранспорта</t>
  </si>
  <si>
    <t>1.6.3</t>
  </si>
  <si>
    <t>Контроль качества воды и сточных вод</t>
  </si>
  <si>
    <t>1.6.4</t>
  </si>
  <si>
    <t>Расходы на аварийно-диспетчерское обслуживание</t>
  </si>
  <si>
    <t>1.6.5</t>
  </si>
  <si>
    <t>Прочие расходы</t>
  </si>
  <si>
    <t>1.7</t>
  </si>
  <si>
    <t>Ремонтные расходы</t>
  </si>
  <si>
    <t>1.7.1</t>
  </si>
  <si>
    <t>Расходы на текущий ремонт централизованных систем водоотведения</t>
  </si>
  <si>
    <t>1.7.2</t>
  </si>
  <si>
    <t>Расходы на капитальный ремонт централизованных систем водоотведения</t>
  </si>
  <si>
    <t>1.7.3</t>
  </si>
  <si>
    <t>Расходы на оплату труда и отчисления на социальные нужды ремонтного персонала</t>
  </si>
  <si>
    <t>1.7.3.1</t>
  </si>
  <si>
    <t>Расходы на оплату труда ремонтного персонала</t>
  </si>
  <si>
    <t>численность ремонтного персонала</t>
  </si>
  <si>
    <t>среднемесячная оплата труда ремонтного персонала</t>
  </si>
  <si>
    <t>1.7.3.2</t>
  </si>
  <si>
    <t>Отчисления на социальные нужды ремонтного персонала</t>
  </si>
  <si>
    <t>1.8</t>
  </si>
  <si>
    <t>Административные расходы</t>
  </si>
  <si>
    <t>1.8.1</t>
  </si>
  <si>
    <t>Расходы на оплату работ и услуг, выполняемых сторонними организациями (услуги связи и интернет; юридические, аудиторские, консультационные, информационные, управленческие услуги; услуги по вневедомственной охране объектов и территорий; прочие работы и услуги)</t>
  </si>
  <si>
    <t>1.8.2</t>
  </si>
  <si>
    <t>Расходы на оплату труда и отчисления на социальные нужды административно-управленческого персонала</t>
  </si>
  <si>
    <t>1.8.2.1</t>
  </si>
  <si>
    <t>Расходы на оплату труда административно-управленческого персонала</t>
  </si>
  <si>
    <t>численность административно-управленческого персонала</t>
  </si>
  <si>
    <t>среднемесячная оплата труда административно-управленческого персонала</t>
  </si>
  <si>
    <t>1.8.2.2</t>
  </si>
  <si>
    <t>Отчисления на социальные нужды административно-управленческого персонала</t>
  </si>
  <si>
    <t>1.8.3</t>
  </si>
  <si>
    <t>Арендная плата, лизинговые платежи, не связанные с арендой (лизингом) централизованных систем водоотведения</t>
  </si>
  <si>
    <t>1.8.4</t>
  </si>
  <si>
    <t>Служебные командировки</t>
  </si>
  <si>
    <t>1.8.5</t>
  </si>
  <si>
    <t>Обучение персонала</t>
  </si>
  <si>
    <t>1.8.6</t>
  </si>
  <si>
    <t>Страхование производственных объектов</t>
  </si>
  <si>
    <t>1.8.7</t>
  </si>
  <si>
    <t>Прочие административные расходы (амортизация непроизводственных активов, охрана объектов и территорий, прочие расходы)</t>
  </si>
  <si>
    <t>1.9</t>
  </si>
  <si>
    <t>Сбытовые расходы гарантирующих организаций</t>
  </si>
  <si>
    <t>1.9.1</t>
  </si>
  <si>
    <t>Резерв по сомнительным долгам гарантирующей организации</t>
  </si>
  <si>
    <t>2</t>
  </si>
  <si>
    <t>Расходы на энергетические ресурсы</t>
  </si>
  <si>
    <t>рост ОПР</t>
  </si>
  <si>
    <t>2п17</t>
  </si>
  <si>
    <t>2п18</t>
  </si>
  <si>
    <t>2п19</t>
  </si>
  <si>
    <t>2п20</t>
  </si>
  <si>
    <t>2п21</t>
  </si>
  <si>
    <t>2п22</t>
  </si>
  <si>
    <t>2п23</t>
  </si>
  <si>
    <t>2п24</t>
  </si>
  <si>
    <t>2п25</t>
  </si>
  <si>
    <t>электроэнергия</t>
  </si>
  <si>
    <t>рост ЭЭ</t>
  </si>
  <si>
    <t>энергия НН (0,4 кВ и ниже)</t>
  </si>
  <si>
    <t>тыс.руб.</t>
  </si>
  <si>
    <t>объем покупной энергии</t>
  </si>
  <si>
    <t>тыс.кВтч.</t>
  </si>
  <si>
    <t>заявленная мощность</t>
  </si>
  <si>
    <t>одноставочный тариф</t>
  </si>
  <si>
    <t>руб.кВтч.</t>
  </si>
  <si>
    <t>двухставочный тариф</t>
  </si>
  <si>
    <t>ставка за мощность</t>
  </si>
  <si>
    <t>руб./кВт.мес.</t>
  </si>
  <si>
    <t>ставка за энергию</t>
  </si>
  <si>
    <t>энергия СН1 (35 кВ)</t>
  </si>
  <si>
    <t>энергия СН2 (1-20 кВ)</t>
  </si>
  <si>
    <t>энергия ВН (110 кВ и выше)</t>
  </si>
  <si>
    <t>Без разбивки по напряжениям/генерация</t>
  </si>
  <si>
    <t>3</t>
  </si>
  <si>
    <t>Неподконтрольные расходы</t>
  </si>
  <si>
    <t>3.1</t>
  </si>
  <si>
    <t>Расходы на оплату товаров (услуг, работ), приобретаемых у других организаций</t>
  </si>
  <si>
    <t>3.1.1</t>
  </si>
  <si>
    <t>теплоэнергия</t>
  </si>
  <si>
    <t>3.1.2</t>
  </si>
  <si>
    <t>теплоноситель</t>
  </si>
  <si>
    <t>3.1.3</t>
  </si>
  <si>
    <t>топливо</t>
  </si>
  <si>
    <t>3.1.4</t>
  </si>
  <si>
    <t>холодная вода</t>
  </si>
  <si>
    <t>3.1.5</t>
  </si>
  <si>
    <t>услуги по холодному водоснабжению</t>
  </si>
  <si>
    <t>3.1.6</t>
  </si>
  <si>
    <t>услуги по транспортировке холодной воды</t>
  </si>
  <si>
    <t>3.1.7</t>
  </si>
  <si>
    <t>услуги по горячему водоснабжению</t>
  </si>
  <si>
    <t>3.1.8</t>
  </si>
  <si>
    <t>услуги по приготовлению воды на нужды горячего водоснабжения</t>
  </si>
  <si>
    <t>3.1.9</t>
  </si>
  <si>
    <t>услуги по транспортировке горячей воды</t>
  </si>
  <si>
    <t>3.1.10</t>
  </si>
  <si>
    <t>услуги по водоотведению</t>
  </si>
  <si>
    <t>3.1.11</t>
  </si>
  <si>
    <t>услуги по транспортировке сточных вод</t>
  </si>
  <si>
    <t>3.2</t>
  </si>
  <si>
    <t>Расходы, связанные с уплатой налогов и сборов</t>
  </si>
  <si>
    <t>УСНО</t>
  </si>
  <si>
    <t>3.2.1</t>
  </si>
  <si>
    <t>Налог на прибыль</t>
  </si>
  <si>
    <t>ОСНО</t>
  </si>
  <si>
    <t>3.2.2</t>
  </si>
  <si>
    <t>Налог на имущество организаций</t>
  </si>
  <si>
    <t>3.2.3</t>
  </si>
  <si>
    <t>Плата за негативное воздействие на окружающую среду</t>
  </si>
  <si>
    <t>3.2.4</t>
  </si>
  <si>
    <t>Водный налог и плата за пользование водным объектом</t>
  </si>
  <si>
    <t>3.2.5</t>
  </si>
  <si>
    <t>Земельный налог</t>
  </si>
  <si>
    <t>3.2.6</t>
  </si>
  <si>
    <t>Транспортный налог</t>
  </si>
  <si>
    <t>3.2.7</t>
  </si>
  <si>
    <t>Прочие налоги и сборы</t>
  </si>
  <si>
    <t>3.3</t>
  </si>
  <si>
    <t>Расходы на арендную плату, лизинговые платежи, концессионную плату</t>
  </si>
  <si>
    <t>3.3.1</t>
  </si>
  <si>
    <t>Аренда имущества</t>
  </si>
  <si>
    <t>3.3.2</t>
  </si>
  <si>
    <t>Концессионная плата</t>
  </si>
  <si>
    <t>3.3.3</t>
  </si>
  <si>
    <t>Лизинговые платежи</t>
  </si>
  <si>
    <t>3.3.4</t>
  </si>
  <si>
    <t>Аренда земельных участков</t>
  </si>
  <si>
    <t>3.4</t>
  </si>
  <si>
    <t>3.4.1</t>
  </si>
  <si>
    <t>Сбытовые расходы гарантирующей организации</t>
  </si>
  <si>
    <t>3.5</t>
  </si>
  <si>
    <t>Экономия расходов</t>
  </si>
  <si>
    <t>3.6</t>
  </si>
  <si>
    <t>Расходы на обслуживание бесхозяйных сетей</t>
  </si>
  <si>
    <t>3.7</t>
  </si>
  <si>
    <t>Расходы на компенсацию экономически обоснованных расходов</t>
  </si>
  <si>
    <t>3.7.1</t>
  </si>
  <si>
    <t>Экономически обоснованные расходы, не учтенные органом регулирования тарифов при установлении тарифов в прошлом периоде</t>
  </si>
  <si>
    <t>3.7.2</t>
  </si>
  <si>
    <t>Недополученные доходы прошлых периодов регулирования</t>
  </si>
  <si>
    <t>3.8</t>
  </si>
  <si>
    <t>Займы и кредиты (для метода индексации)</t>
  </si>
  <si>
    <t>3.8.1</t>
  </si>
  <si>
    <t>Возврат займов и кредитов</t>
  </si>
  <si>
    <t>3.8.2</t>
  </si>
  <si>
    <t>Проценты по займам и кредитам</t>
  </si>
  <si>
    <t>3.9.</t>
  </si>
  <si>
    <t>Амортизация</t>
  </si>
  <si>
    <t>4.1</t>
  </si>
  <si>
    <t>Амортизация основных средств и нематериальных активов, относимых к объектам централизованной системы водоотведения</t>
  </si>
  <si>
    <t>Нормативная прибыль</t>
  </si>
  <si>
    <t>5.1</t>
  </si>
  <si>
    <t>Расходы на капитальные вложения</t>
  </si>
  <si>
    <t>5.2</t>
  </si>
  <si>
    <t>Расходы на социальные нужды, предусмотренные коллективными договорами</t>
  </si>
  <si>
    <t>6</t>
  </si>
  <si>
    <t>Расчетная предпринимательская прибыль гарантирующей организации</t>
  </si>
  <si>
    <t>7</t>
  </si>
  <si>
    <t>Корректировка НВВ ИТОГО</t>
  </si>
  <si>
    <t>7.1</t>
  </si>
  <si>
    <t>Отклонение фактически достигнутого объема очищенных сточных вод</t>
  </si>
  <si>
    <t>7.2</t>
  </si>
  <si>
    <t>Отклонение фактических значений индекса потребительских цен и других индексов, предусмотренных прогнозом социально-экономического развития Российской Федерации</t>
  </si>
  <si>
    <t>7.3</t>
  </si>
  <si>
    <t>Корректировка по п.17 Основ ценообразования в сферах водоснабжения и водоотведения</t>
  </si>
  <si>
    <t>7.4</t>
  </si>
  <si>
    <t>Ввод объектов системы водоснабжения и (или) водоотведения в эксплуатацию и изменение утвержденной инвестиционной программы</t>
  </si>
  <si>
    <t>7.5</t>
  </si>
  <si>
    <t>Корректировка НВВ за 2016 год</t>
  </si>
  <si>
    <t>7.6</t>
  </si>
  <si>
    <t>Корректировка НВВ за 2017 год</t>
  </si>
  <si>
    <t>7.7</t>
  </si>
  <si>
    <t>Корректировка НВВ за 2018 год</t>
  </si>
  <si>
    <t>7.8</t>
  </si>
  <si>
    <t>Корректировка НВВ за 2019 год</t>
  </si>
  <si>
    <t>7.9</t>
  </si>
  <si>
    <t>7.10</t>
  </si>
  <si>
    <t>7.11</t>
  </si>
  <si>
    <t>Корректировка НВВ за 2020 год</t>
  </si>
  <si>
    <t>7.12</t>
  </si>
  <si>
    <t>Корректировка НВВ за 2021 год</t>
  </si>
  <si>
    <t>7.13</t>
  </si>
  <si>
    <t>Корректировка НВВ за 2022 год</t>
  </si>
  <si>
    <t>7.14</t>
  </si>
  <si>
    <t>Корректировка НВВ за 2023 год</t>
  </si>
  <si>
    <t>7.15</t>
  </si>
  <si>
    <t>Корректировка при недостижении регулируемой организацией утвержденных плановых значений показателей надежности и качества объектов централизованных систем водоснабжения и (или) водоотведения за 2020 год</t>
  </si>
  <si>
    <t>7.16</t>
  </si>
  <si>
    <t>Корректировка при недостижении регулируемой организацией утвержденных плановых значений показателей надежности и качества объектов централизованных систем водоснабжения и (или) водоотведения за 2021 год</t>
  </si>
  <si>
    <t>7.17</t>
  </si>
  <si>
    <t>7.18</t>
  </si>
  <si>
    <t>7.19</t>
  </si>
  <si>
    <t>п.9 Основ ценообразования</t>
  </si>
  <si>
    <t>7.20</t>
  </si>
  <si>
    <t>7.21</t>
  </si>
  <si>
    <t>8</t>
  </si>
  <si>
    <t>Итого НВВ</t>
  </si>
  <si>
    <t>9</t>
  </si>
  <si>
    <t>руб./м3.</t>
  </si>
  <si>
    <t>Рост тарифа по сравнению с действующим</t>
  </si>
  <si>
    <t>Сценарные условия/индексы для расчета тарифов:</t>
  </si>
  <si>
    <t>Индекс потребительских цен</t>
  </si>
  <si>
    <t>-</t>
  </si>
  <si>
    <t>Индекс роста номинальной заработной платы</t>
  </si>
  <si>
    <t>Индекс цен на электрическую энергию</t>
  </si>
  <si>
    <t>Индекс цен на электрическую энергию СН2</t>
  </si>
  <si>
    <t>Индекс цен на покупную воду</t>
  </si>
  <si>
    <t>Индекс роста амортизационных отчислений</t>
  </si>
  <si>
    <t>Индекс эффективности расходов</t>
  </si>
  <si>
    <t>Индекс количества активов</t>
  </si>
  <si>
    <t>Изменение количества условных метров канализационной сети</t>
  </si>
  <si>
    <t>Доля операционных расходов на транспортировку сточных вод</t>
  </si>
  <si>
    <t>Коэффициент эластичности операционных расходов</t>
  </si>
  <si>
    <t>Изменение операционных расходов на очистку сточных вод, связанное с вводом в эксплуатацию нового объекта очистки сточных вод</t>
  </si>
  <si>
    <t>СПРАВОЧНО:</t>
  </si>
  <si>
    <t>Удельный расход электроэнергии</t>
  </si>
  <si>
    <t>кВт.ч/м3</t>
  </si>
  <si>
    <t>Средний тариф на электроэнергию</t>
  </si>
  <si>
    <t>руб.кВт.ч</t>
  </si>
  <si>
    <t>Количество канализационных насосных станций</t>
  </si>
  <si>
    <t>шт.</t>
  </si>
  <si>
    <t>Наличие очистных сооружений</t>
  </si>
  <si>
    <t>да/нет</t>
  </si>
  <si>
    <t>Протяженность канализационных сетей</t>
  </si>
  <si>
    <t>км.</t>
  </si>
  <si>
    <t>Выручка от реализации товаров (услуг)</t>
  </si>
  <si>
    <t xml:space="preserve"> -</t>
  </si>
  <si>
    <t>Размер корректировки с учетом подтвержадющих документов</t>
  </si>
  <si>
    <t>Уполномоченный по делу</t>
  </si>
  <si>
    <t>Муравьева А.С.</t>
  </si>
  <si>
    <t>Черных А.О.</t>
  </si>
  <si>
    <t>Земсков Д. Л.</t>
  </si>
  <si>
    <t>Коновалов А.Л.</t>
  </si>
  <si>
    <t>Целищева С.Н.</t>
  </si>
  <si>
    <t>Гавриличева Л.Н.</t>
  </si>
  <si>
    <t>Кулешова И.Ю.</t>
  </si>
  <si>
    <t>Кривошеина Ю.А.</t>
  </si>
  <si>
    <t>Чучалина Е.А.</t>
  </si>
  <si>
    <t>исходя из годовых показателей деятельности организации</t>
  </si>
  <si>
    <t>Расчет объемов реализации</t>
  </si>
  <si>
    <t>i-5</t>
  </si>
  <si>
    <t>i-4</t>
  </si>
  <si>
    <t>i-3</t>
  </si>
  <si>
    <t>i-2</t>
  </si>
  <si>
    <t>i-1</t>
  </si>
  <si>
    <t>i</t>
  </si>
  <si>
    <t>Вода</t>
  </si>
  <si>
    <t>Стоки</t>
  </si>
  <si>
    <t>Объем подкл. нагрузки куб.м./сут в 2015 году</t>
  </si>
  <si>
    <t>Кол-во дней в году</t>
  </si>
  <si>
    <t>Qi нп, куб.м.</t>
  </si>
  <si>
    <t>вода</t>
  </si>
  <si>
    <t>стоки</t>
  </si>
  <si>
    <t>Расчетная величина по формуле</t>
  </si>
  <si>
    <t>Принято в расчет</t>
  </si>
  <si>
    <t>Итого</t>
  </si>
  <si>
    <t xml:space="preserve">Ti вода </t>
  </si>
  <si>
    <t>Ti стоки</t>
  </si>
  <si>
    <t>Qi Вода</t>
  </si>
  <si>
    <t>Qi Стоки</t>
  </si>
  <si>
    <t>старые</t>
  </si>
  <si>
    <t>текущие</t>
  </si>
  <si>
    <t>Индексы</t>
  </si>
  <si>
    <t>Первый год по КС (ДПР) годовые</t>
  </si>
  <si>
    <t>2п16</t>
  </si>
  <si>
    <t>2024</t>
  </si>
  <si>
    <t>на 2025 год</t>
  </si>
  <si>
    <t>факт 2023</t>
  </si>
  <si>
    <t>2017</t>
  </si>
  <si>
    <t>2018</t>
  </si>
  <si>
    <t>2019</t>
  </si>
  <si>
    <t>2020</t>
  </si>
  <si>
    <t>2021</t>
  </si>
  <si>
    <t>2022</t>
  </si>
  <si>
    <t>2023</t>
  </si>
  <si>
    <t>к решению правления</t>
  </si>
  <si>
    <t>РСТ Кировской области</t>
  </si>
  <si>
    <t>от________________№________</t>
  </si>
  <si>
    <t>Раздел 1. Паспорт производственной программы</t>
  </si>
  <si>
    <t xml:space="preserve">Регулируемая организация </t>
  </si>
  <si>
    <t>Местонахождение</t>
  </si>
  <si>
    <t>Уполномоченный орган регулирования</t>
  </si>
  <si>
    <t>Региональная служба по тарифам Кировской области</t>
  </si>
  <si>
    <t>г. Киров, ул.Дерендяева, д.23</t>
  </si>
  <si>
    <t>Период реализации производственной программы</t>
  </si>
  <si>
    <t>с 01.01.2024 по 31.12.2028</t>
  </si>
  <si>
    <t>Раздел 2. Перечень мероприятий по ремонту объектов централизованных систем водоснабжения и водоотведения, мероприятий, направленных на улучшение качества питьевой воды и качества очистки сточных вод, мероприятий по энергосбережению и повышению энергетической эффективности, в том числе по снижению потерь воды при транспортировке</t>
  </si>
  <si>
    <t>№</t>
  </si>
  <si>
    <t>Наименование</t>
  </si>
  <si>
    <t>Единица измерения</t>
  </si>
  <si>
    <t>Финансовые потребности на реализацию</t>
  </si>
  <si>
    <t>2024 год</t>
  </si>
  <si>
    <t>2025 год</t>
  </si>
  <si>
    <t>2026 год</t>
  </si>
  <si>
    <t>2027 год</t>
  </si>
  <si>
    <t>2028 год</t>
  </si>
  <si>
    <t>Текущий и капитальный ремонт и обслуживание объектов централизованной системы водоотведения за счет тарифных источников</t>
  </si>
  <si>
    <t>Текущий и капитальный ремонт и обслуживание объектов централизованной системы водоотведения за счет платы за негативное воздействие на централизованную систему водоотведения</t>
  </si>
  <si>
    <t>Мероприятия, направленные на улучшение качества очистки сточных вод, мероприятий по энергосбережению и повышению энергетической эффективности</t>
  </si>
  <si>
    <t>Раздел 3. Принято сточных вод</t>
  </si>
  <si>
    <t>Показатели производственной деятельности</t>
  </si>
  <si>
    <t>Величина показателя</t>
  </si>
  <si>
    <t xml:space="preserve">Принято сточных вод для передачи (транспортировки), всего, в т.ч.: </t>
  </si>
  <si>
    <t>тыс.м3</t>
  </si>
  <si>
    <t>Отпуск (реализация) услуг всего, в т.ч.:</t>
  </si>
  <si>
    <t>от бюджетных потребителей</t>
  </si>
  <si>
    <t>2.1</t>
  </si>
  <si>
    <t>бюджетным организациям</t>
  </si>
  <si>
    <t>от населения, исполнителей коммунальных услуг (УК, ТСЖ и пр.)</t>
  </si>
  <si>
    <t>2.2</t>
  </si>
  <si>
    <t>населению</t>
  </si>
  <si>
    <t>от прочих</t>
  </si>
  <si>
    <t>2.3.</t>
  </si>
  <si>
    <t>прочие потребители</t>
  </si>
  <si>
    <t>Раздел 4. Объем финансовых потребностей, необходимых для реализации производственной программы</t>
  </si>
  <si>
    <t>Наименование показателя</t>
  </si>
  <si>
    <t>1</t>
  </si>
  <si>
    <t>Финансовые потребности за счет тарифных источников (без учета расходов на инвестиции), в том числе:</t>
  </si>
  <si>
    <t>2.</t>
  </si>
  <si>
    <t>За счет платы за негативное воздействие на централизованную систему водоотведения</t>
  </si>
  <si>
    <t>3.</t>
  </si>
  <si>
    <t>Всего за счет тарифных и прочих источников</t>
  </si>
  <si>
    <t>Раздел 5. График реализации мероприятий производственной программы</t>
  </si>
  <si>
    <t>Наименование мероприятия</t>
  </si>
  <si>
    <t>Период реализации</t>
  </si>
  <si>
    <t>Раздел 6. Плановые значения показателей надежности, качества и энергетической эффективности объектов централизованных систем водоснабжения и водоотведения (определяются в соответствии с приказом Минстроя России от 04.04.2014 № 162/пр "Об утверждении перечня показателей надежности, качества, энергетической эффективности объектов централизованных систем горячего водоснабжения, холодного водоснабжения и (или) водоотведения, порядка и правил определения плановых значений и фактических значений таких показателей" (далее -  приказ Минстроя России от 04.04.2014 № 162/пр )</t>
  </si>
  <si>
    <t xml:space="preserve">Показатели качества очистки сточных вод </t>
  </si>
  <si>
    <t>подпункт "а" пункта 12 приказа Минстроя России от 04.04.2014 № 162/пр</t>
  </si>
  <si>
    <t>подпункт "в" пункта 12 приказа Минстроя России от 04.04.2014 № 162/пр</t>
  </si>
  <si>
    <t>Показатели надежности и бесперебойности водоотведения</t>
  </si>
  <si>
    <t>пункт 11 приказа Минстроя России от 04.04.2014 № 162/пр</t>
  </si>
  <si>
    <t>ед./км</t>
  </si>
  <si>
    <t>Показатели энергетической эффективности</t>
  </si>
  <si>
    <t>подпункт "д" пункта 13 приказа Минстроя России от 04.04.2014 № 162/пр</t>
  </si>
  <si>
    <t>кВт*ч/куб.м</t>
  </si>
  <si>
    <t>Раздел 7. Расчет эффективности производственной программы, осуществляемый путем сопоставления динамики изменения плановых значений показателей надежности, качества и энергетической эффективности объектов централизованных систем водоснабжения и водоотведения и расходов на реализацию производственной программы в течении срока её действия</t>
  </si>
  <si>
    <t>Величина показателя планируемого периода</t>
  </si>
  <si>
    <t>Сопоставление динамики изменения</t>
  </si>
  <si>
    <t>Д псвно</t>
  </si>
  <si>
    <t>Раздел 8. Отчет об исполнении производственной программы за истекший период регулирования</t>
  </si>
  <si>
    <t>План на 2022 год</t>
  </si>
  <si>
    <t>Факт за 2022 год</t>
  </si>
  <si>
    <t>Примечание</t>
  </si>
  <si>
    <t>Итого финансовые потребности за счет тарифных источников</t>
  </si>
  <si>
    <t>Операционные расходы, в том числе:</t>
  </si>
  <si>
    <t>4</t>
  </si>
  <si>
    <t>5</t>
  </si>
  <si>
    <t>Объем принятых сточных вод</t>
  </si>
  <si>
    <t>тыс. куб.м</t>
  </si>
  <si>
    <t>Показатели качества очистки сточных вод, надежности и бесперебойности услуги водоотведения</t>
  </si>
  <si>
    <t>6.1</t>
  </si>
  <si>
    <t>6.2</t>
  </si>
  <si>
    <t>6.3</t>
  </si>
  <si>
    <t>Раздел 9. Мероприятия, направленные на повышение качества обслуживания абонентов</t>
  </si>
  <si>
    <t>Мероприятия, направленные на повышение качества обслуживания абонентов не планируются</t>
  </si>
  <si>
    <t xml:space="preserve">                                                                                                                              ___________________</t>
  </si>
  <si>
    <t>Приложение</t>
  </si>
  <si>
    <t>ПОКАЗАТЕЛИ НАДЕЖНОСТИ, КАЧЕСТВА ОБЪЕКТОВ ЦЕНТРАЛИЗОВАННЫХ СИСТЕМ ГОРЯЧЕГО
ВОДОСНАБЖЕНИЯ, ХОЛОДНОГО ВОДОСНАБЖЕНИЯ
И (ИЛИ) ВОДООТВЕДЕНИЯ</t>
  </si>
  <si>
    <t>Показатель</t>
  </si>
  <si>
    <t>Формула расчета показателя</t>
  </si>
  <si>
    <t>План</t>
  </si>
  <si>
    <t>Факт</t>
  </si>
  <si>
    <t>Отклонение</t>
  </si>
  <si>
    <t>Весовой коэффициент</t>
  </si>
  <si>
    <t>1.</t>
  </si>
  <si>
    <t>Показатели в сфере холодного водоснабжения</t>
  </si>
  <si>
    <t>1.1.</t>
  </si>
  <si>
    <t>Показатели качества питьевой воды</t>
  </si>
  <si>
    <t xml:space="preserve">Доля проб питьевой воды, подаваемой с источников водоснабжения, водопроводных станций или иных объектов централизованной системы водоснабжения в распределительную водопроводную сеть, не соответствующих установленным требованиям, в общем объеме проб, отобранных по результатам производственного контроля качества питьевой воды </t>
  </si>
  <si>
    <t>количество проб питьевой воды, отобранных по результатам производственного контроля, не соответствующих установленным требованиям</t>
  </si>
  <si>
    <t>х 100%</t>
  </si>
  <si>
    <t>общее количество отобранных проб</t>
  </si>
  <si>
    <t>Доля проб питьевой воды в распределительной водопроводной сети, не соответствующих установленным требованиям, в общем объеме проб, отобранных по результатам производственного контроля качества питьевой воды</t>
  </si>
  <si>
    <t>количество проб питьевой воды в распределительной водопроводной сети, отобранных по результатам производственного контроля качества питьевой воды, не соответствующих установленным требованиям</t>
  </si>
  <si>
    <t>1.2.</t>
  </si>
  <si>
    <t>Показатель надежности и бесперебойности централизованных систем водоснабжения</t>
  </si>
  <si>
    <t>Количество перерывов в подаче воды, зафиксированных в местах исполнения обязательств организацией, осуществляющей холодное водоснабжение, возникших в результате аварий, повреждений и иных технологических нарушений на объектах централизованной системы холодного водоснабжения, принадлежащих организации, осуществляющей  холодное водоснабжение, в расчете на протяженность водопроводной сети в год (ед./км)</t>
  </si>
  <si>
    <t>количество перерывов в подаче воды, зафиксированных в определенных договором холодного водоснабжения, единым договором водоснабжения и водоотведения или договором транспортировки холодной воды,  местах исполнения обязательств организации, осуществляющей  холодное водоснабжение по подаче холодной воды, определенных в соответствии с указанными договорами, произошедших в результате аварий, повреждений и иных технологических нарушений на объектах централизованной системы холодного водоснабжения, принадлежащих организации, осуществляющей, холодное водоснабжение и (или) водоотведение</t>
  </si>
  <si>
    <t>протяженность водопроводной сети (км)</t>
  </si>
  <si>
    <t>1.3.</t>
  </si>
  <si>
    <t>Показатели энергетической
эффективности объектов централизованных систем 
холодного водоснабжения</t>
  </si>
  <si>
    <t>Доля потерь воды в централизованных системах водоснабжения при ее транспортировке в общем объеме воды, поданной в водопроводную сеть (процентов)</t>
  </si>
  <si>
    <t>объем потерь воды в централизованных системах водоснабжения при ее транспортировке</t>
  </si>
  <si>
    <t>общий объем воды, поданной в водопроводную сеть</t>
  </si>
  <si>
    <t>Удельный расход электрической энергии, потребляемой в технологическом процессе подготовки питьевой воды, на единицу объема воды, отпускаемой в сеть (кВт*ч/куб. м)</t>
  </si>
  <si>
    <t>общее количество электрической энергии, потребляемой в соответствующем технологическом процессе</t>
  </si>
  <si>
    <t>общий объем питьевой воды, в отношении которой осуществляется водоподготовка</t>
  </si>
  <si>
    <t>Удельный расход электрической энергии, потребляемой в технологическом процессе транспортировки питьевой воды, на единицу объема транспортируемой питьевой воды (кВт*ч/куб. м)</t>
  </si>
  <si>
    <t>общий объем транспортируемой питьевой воды</t>
  </si>
  <si>
    <t>Показатели в сфере горячего водоснабжения</t>
  </si>
  <si>
    <t>2.1.</t>
  </si>
  <si>
    <t>Показатели качества горячей воды</t>
  </si>
  <si>
    <t>Доля проб горячей воды в тепловой сети или в сети горячего водоснабжения, не соответствующих установленным требованиям по температуре в общем объеме проб, отобранных по результатам производственного контроля качества горячей воды</t>
  </si>
  <si>
    <t>количество проб горячей воды в местах поставки горячей воды, отобранных по результатам производственного контроля качества горячей воды, не соответствующих установленным требованиям</t>
  </si>
  <si>
    <t xml:space="preserve"> общее количество отобранных проб</t>
  </si>
  <si>
    <t>Доля проб горячей воды в тепловой сети или в сети горячего водоснабжения, не соответствующих установленным требованиям (за исключением температуры), в общем объеме проб, отобранных по результатам производственного контроля качества горячей воды (процентов)</t>
  </si>
  <si>
    <t>количество проб горячей воды в тепловой сети или в сети горячего водоснабжения, отобранных по результатам производственного контроля качества горячей воды, не соответствующих установленным требованиям</t>
  </si>
  <si>
    <t xml:space="preserve"> общее количество проб, отобранных в тепловой сети или в сети горячего водоснабжения</t>
  </si>
  <si>
    <t>2.2.</t>
  </si>
  <si>
    <t>Количество перерывов в подаче воды, зафиксированных в местах исполнения обязательств организацией, осуществляющей горячее водоснабжение, возникших в результате аварий, повреждений и иных технологических нарушений на объектах централизованной системы горячего водоснабжения, принадлежащих организации, осуществляющей горячее водоснабжение, в расчете на протяженность водопроводной сети в год (ед./км)</t>
  </si>
  <si>
    <t xml:space="preserve"> количество перерывов в подаче воды, зафиксированных в определенных договором  горячего водоснабжения, единым договором водоснабжения и водоотведения или договором транспортировки  горячей воды местах исполнения обязательств организации, осуществляющей горячее водоснабжение по подаче горячей воды, определенных в соответствии с указанными договорами, произошедших в результате аварий, повреждений и иных технологических нарушений на объектах централизованной системы горячего водоснабжения, принадлежащих организации, осуществляющей горячее водоснабжение и (или) водоотведение</t>
  </si>
  <si>
    <t>Показатели энергетической
эффективности объектов централизованных систем 
горячего водоснабжения</t>
  </si>
  <si>
    <t>Доля потерь воды в централизованных системах горячего водоснабжения при ее транспортировке в общем объеме воды, поданной в водопроводную сеть (процентов)</t>
  </si>
  <si>
    <t>Удельное количество тепловой энергии, расходуемое на подогрев горячей воды (Гкал/куб. м)</t>
  </si>
  <si>
    <t>общее количество тепловой энергии, расходуемое на подогрев горячей воды;</t>
  </si>
  <si>
    <t xml:space="preserve"> объем подогретой горячей воды</t>
  </si>
  <si>
    <t>Показатели в сфере водоотведения</t>
  </si>
  <si>
    <t>3.1.</t>
  </si>
  <si>
    <t>Показатель надежности и бесперебойности водоотведения</t>
  </si>
  <si>
    <t>Удельное количество аварий и засоров в расчете на протяженность канализационной сети в год (ед./км)</t>
  </si>
  <si>
    <t>количество аварий и засоров на канализационных сетях</t>
  </si>
  <si>
    <t>протяженность канализационных сетей (км)</t>
  </si>
  <si>
    <t>3.2.</t>
  </si>
  <si>
    <t>Показатели качества очистки сточных вод</t>
  </si>
  <si>
    <t>Доля сточных вод, не подвергающихся очистке, в общем объеме сточных вод, сбрасываемых в централизованные общесплавные или бытовые системы водоотведения (процентов)</t>
  </si>
  <si>
    <t>объем сточных вод, не подвергшихся очистке</t>
  </si>
  <si>
    <t>общий объем сточных вод, сбрасываемых в централизованные общесплавные или бытовые системы водоотведения</t>
  </si>
  <si>
    <t>Доля проб сточных вод, не соответствующих установленным нормативам допустимых сбросов, лимитам на сбросы, рассчитанная применительно рассчитанная применительно для централизованной общесплавной (бытовой) системы водоотведения</t>
  </si>
  <si>
    <t>количество проб сточных вод, не соответствующих установленным нормативам допустимых сбросов, лимитам на сбросы</t>
  </si>
  <si>
    <t xml:space="preserve"> общее количество проб сточных вод</t>
  </si>
  <si>
    <t>3.3.</t>
  </si>
  <si>
    <t>Показатели энергетической
эффективности объектов водоотведения</t>
  </si>
  <si>
    <t>Удельный расход электрической энергии, потребляемой в технологическом процессе очистки сточных вод (кВт*ч/куб. м)</t>
  </si>
  <si>
    <t>общий объем сточных вод, подвергающихся очистке</t>
  </si>
  <si>
    <t>Удельный расход электрической энергии, потребляемой в технологическом процессе транспортировки сточных вод, на единицу объема транспортируемых сточных вод (кВт*ч/куб. м)</t>
  </si>
  <si>
    <t>общий объем транспортируемых сточных вод</t>
  </si>
  <si>
    <t>Агрегированный показатель качества, надежности  и энергетической эффективностив сфере холодного водоснабжения</t>
  </si>
  <si>
    <t>Агрегированный показатель качества, надежности  и энергетической эффективностив сфере горячего водоснабжения</t>
  </si>
  <si>
    <t>Агрегированный показатель качества, надежности  и энергетической эффективностив сфере водоотведения</t>
  </si>
  <si>
    <t xml:space="preserve">Агрегированный показатель качества, надежности  и энергетической эффективностив сфере холодного водоснабжениябез учета показателей энергетической эффективности объектов централизованных систем  холодного водоснабжения </t>
  </si>
  <si>
    <t>Агрегированный показатель качества, надежности  и энергетической эффективностив сфере горячего водоснабжения без учета показателей энергетической эффективности объектов централизованных систем горячего водоснабжения</t>
  </si>
  <si>
    <t>Агрегированный показатель качества, надежности  и энергетической эффективностив сфере водоотведения без учета показателей энергетической эффективности объектов централизованных систем водоотведения</t>
  </si>
  <si>
    <t>Руководитель</t>
  </si>
  <si>
    <t>_____________________________________</t>
  </si>
  <si>
    <t>(подпись)</t>
  </si>
  <si>
    <t>если все показатели с данными</t>
  </si>
  <si>
    <t>Агрегированный показатель качества</t>
  </si>
  <si>
    <t>если первый показатель</t>
  </si>
  <si>
    <t>если второй показатель</t>
  </si>
  <si>
    <t>если третий показтель</t>
  </si>
  <si>
    <t>проверка</t>
  </si>
  <si>
    <t>если 1 и 2 есть</t>
  </si>
  <si>
    <t>если 1 и 3 есть</t>
  </si>
  <si>
    <t>если 2 и 3 есть</t>
  </si>
  <si>
    <t xml:space="preserve">ПЛАН </t>
  </si>
  <si>
    <t>ФАКТ</t>
  </si>
  <si>
    <t>отклонение</t>
  </si>
  <si>
    <t>исходя из годовых показателей деятельности организации на 2024 год</t>
  </si>
  <si>
    <t>Отклонение фактически достигнутого уровня неподконтрольных расходов</t>
  </si>
  <si>
    <t>КС</t>
  </si>
  <si>
    <t>другое</t>
  </si>
  <si>
    <t>имущество(КС/другое)</t>
  </si>
  <si>
    <t>выполнены</t>
  </si>
  <si>
    <t>не выполнены</t>
  </si>
  <si>
    <t>выбираем показатели КиН "выполнены/не выполнены"</t>
  </si>
  <si>
    <t>КОРРЕКТИРОВКА ИТОГО</t>
  </si>
  <si>
    <t>ИТОГО Корректировка НВВ</t>
  </si>
  <si>
    <t>Отклонение фактически достигнутого объема поданной воды</t>
  </si>
  <si>
    <t>ИТОГО Корректировка при недостижении показателей КИН</t>
  </si>
  <si>
    <t>Корректировка КИН за 2020 год</t>
  </si>
  <si>
    <t>Корректировка КИН за 2021 год</t>
  </si>
  <si>
    <t>Корректировка КИН за 2022 год</t>
  </si>
  <si>
    <t>Корректировка КИН за 2023 год</t>
  </si>
  <si>
    <t>Корректировка по завершенному ДПР</t>
  </si>
  <si>
    <t>ИТОГО величина сглаживания</t>
  </si>
  <si>
    <t>Сглаживание в 2024 году</t>
  </si>
  <si>
    <t>Сглаживание в 2025 году</t>
  </si>
  <si>
    <t>Смета расходов (с учетом корректировки) на водоотведение на 2025 год</t>
  </si>
  <si>
    <r>
      <t xml:space="preserve">для </t>
    </r>
    <r>
      <rPr>
        <b/>
        <sz val="16"/>
        <color rgb="FFFF0000"/>
        <rFont val="Tahoma"/>
        <family val="2"/>
        <charset val="204"/>
      </rPr>
      <t>МПК Коммунальные системы Вятскополянский рн</t>
    </r>
  </si>
  <si>
    <t>да</t>
  </si>
  <si>
    <t>85,78</t>
  </si>
  <si>
    <t>93,03</t>
  </si>
  <si>
    <t>остаток на 26-28</t>
  </si>
  <si>
    <t>Год</t>
  </si>
  <si>
    <t>Необходимая валовая выручка, тыс. руб.</t>
  </si>
  <si>
    <t>в том числе</t>
  </si>
  <si>
    <t xml:space="preserve"> операционные расходы,</t>
  </si>
  <si>
    <t xml:space="preserve"> тыс. руб.</t>
  </si>
  <si>
    <t>В тарифе</t>
  </si>
  <si>
    <t>Очистные сооружения (1295м.) 57 канал.колодцы,1 задвижка (с 30.10.23г. 1295м. 43,4кв.м.)</t>
  </si>
  <si>
    <t>чекаш</t>
  </si>
  <si>
    <t>Очистные сооружения и смотровые колодцы (площ.114,6кв.м.;площ.застройки 428,6кв.м.; 50 м. для статистики)</t>
  </si>
  <si>
    <t>ершов</t>
  </si>
  <si>
    <t>из ведом за август</t>
  </si>
  <si>
    <t>Приложение № 4</t>
  </si>
  <si>
    <t>Производственная программа в сфере водоотведения МКП «Коммунальные системы» на 2024-2028 годы</t>
  </si>
  <si>
    <t>МКП «Коммунальные системы»</t>
  </si>
  <si>
    <t>ул. Центральная, д. 4а, дер. Гремячка, Вятскополянский район, Кировская область, 612985.</t>
  </si>
  <si>
    <t>Зарплата ОПП+цех+рем, отчисления ОПП+цех+рем, сырье и основные материалы, ремонт, услуги</t>
  </si>
  <si>
    <t>Контроль очистки сточных вод</t>
  </si>
  <si>
    <t>факт по данным организации</t>
  </si>
  <si>
    <t>Зарплата ОПП, отчисления ОПП, сырье и основные материалы, ремонт, услуги</t>
  </si>
  <si>
    <t xml:space="preserve">         - Ремонт за счет тарифных источников</t>
  </si>
  <si>
    <t xml:space="preserve">         - Контроль качества очистки сточных вод</t>
  </si>
  <si>
    <t>Приложение № 3</t>
  </si>
  <si>
    <t>от 08.11.2023 № 39/26-кс-2024</t>
  </si>
  <si>
    <t>План на 2023 год</t>
  </si>
  <si>
    <t>Факт за 2023 год</t>
  </si>
  <si>
    <t>Плановые и фактические показатели  указаны с разбивкой по поселениям</t>
  </si>
  <si>
    <t>0/ -</t>
  </si>
  <si>
    <t>0/ 0</t>
  </si>
  <si>
    <t>100/ -</t>
  </si>
  <si>
    <t>0,5/ 2</t>
  </si>
  <si>
    <t>Тариф с 1.01. по 30.06. с НДС</t>
  </si>
  <si>
    <t>Тариф с 1.07. по 31.12. с НДС</t>
  </si>
  <si>
    <t>Тариф на 2025 год с НДС 5%</t>
  </si>
  <si>
    <t>18. Расчет тарифа методом индексации</t>
  </si>
  <si>
    <t>Указание на подтверждающие документы / URL-ссылка на копии подтверждающих документов</t>
  </si>
  <si>
    <t>Ссылка на правовую норму (основание для принятия показателя в расчет тарифа)</t>
  </si>
  <si>
    <t>Обоснование причин, на основании которых принято решение об исключении из расчета тарифов экономически не обоснованных расходов, учтенных регулируемой организацией в предложении об установлении тарифов</t>
  </si>
  <si>
    <t>Принято органом регулирования</t>
  </si>
  <si>
    <t>Факт, принятый органом регулирования</t>
  </si>
  <si>
    <t>отклонение факта по данным организации к факту принятому органом регулирования</t>
  </si>
  <si>
    <t>Предложение организации</t>
  </si>
  <si>
    <t>Сравнительный анализ динамики НВВ, в том числе расходов по отдельным статьям (группам расходов), прибыли и их величины по отношению к предыдущим периодам регулирования, %</t>
  </si>
  <si>
    <t>L1</t>
  </si>
  <si>
    <t>L1_1</t>
  </si>
  <si>
    <t>коэффициент индекса операционных расходов</t>
  </si>
  <si>
    <t>L1_2</t>
  </si>
  <si>
    <t>Производственные расходы:</t>
  </si>
  <si>
    <t>L1_2_1</t>
  </si>
  <si>
    <t>расходы на приобретение сырья и материалов и их хранение, в том числе:</t>
  </si>
  <si>
    <t>L1_2_1_1</t>
  </si>
  <si>
    <t>1.2.1.1</t>
  </si>
  <si>
    <t>горюче-смазочные материалы</t>
  </si>
  <si>
    <t>L1_2_1_2</t>
  </si>
  <si>
    <t>1.2.1.2</t>
  </si>
  <si>
    <t>материалы и малоценные основные средства</t>
  </si>
  <si>
    <t>L1_2_2</t>
  </si>
  <si>
    <t>расходы на оплату регулируемыми организациями выполняемых сторонними организациями работ и (или) услуг</t>
  </si>
  <si>
    <t>L1_2_3</t>
  </si>
  <si>
    <t>1.2.3</t>
  </si>
  <si>
    <t>расходы на оплату труда и страховые взносы на обязательное социальное страхование основного производственного персонала, в том числе:</t>
  </si>
  <si>
    <t>ПП</t>
  </si>
  <si>
    <t>L1_2_3_1</t>
  </si>
  <si>
    <t>1.2.3.1</t>
  </si>
  <si>
    <t>расходы на оплату труда основного производственного персонала</t>
  </si>
  <si>
    <t>СОЦ_ПП</t>
  </si>
  <si>
    <t>L1_2_3_2</t>
  </si>
  <si>
    <t>1.2.3.2</t>
  </si>
  <si>
    <t>страховые взносы на обязательное социальное страхование основного производственного персонала</t>
  </si>
  <si>
    <t>L1_2_4</t>
  </si>
  <si>
    <t>1.2.4</t>
  </si>
  <si>
    <t>общехозяйственные расходы</t>
  </si>
  <si>
    <t>L1_2_5</t>
  </si>
  <si>
    <t>1.2.5</t>
  </si>
  <si>
    <t>прочие производственные расходы</t>
  </si>
  <si>
    <t>L1_2_5_1</t>
  </si>
  <si>
    <t>1.2.5.1</t>
  </si>
  <si>
    <t>амортизация автотранспорта</t>
  </si>
  <si>
    <t>L1_2_5_2</t>
  </si>
  <si>
    <t>1.2.5.2</t>
  </si>
  <si>
    <t>расходы на обезвоживание, обезвреживание и захоронение осадка сточных вод</t>
  </si>
  <si>
    <t>L1_2_5_3</t>
  </si>
  <si>
    <t>1.2.5.3</t>
  </si>
  <si>
    <t>расходы на приобретение (использование) вспомогательных материалов, запасных частей</t>
  </si>
  <si>
    <t>L1_2_5_4</t>
  </si>
  <si>
    <t>1.2.5.4</t>
  </si>
  <si>
    <t>расходы на эксплуатацию, техническое обслуживание и ремонт автотранспорта</t>
  </si>
  <si>
    <t>L1_2_5_5</t>
  </si>
  <si>
    <t>1.2.5.5</t>
  </si>
  <si>
    <t>расходы на осуществление производственного контроля качества воды и производственного контроля состава и свойств сточных вод расходы на осуществление производственного контроля качества воды и производственного контроля состава и свойств сточных вод</t>
  </si>
  <si>
    <t>L1_2_5_6</t>
  </si>
  <si>
    <t>1.2.5.6</t>
  </si>
  <si>
    <t>расходы на аварийно-диспетчерское обслуживание</t>
  </si>
  <si>
    <t>L1_2_5_7</t>
  </si>
  <si>
    <t>1.2.5.7</t>
  </si>
  <si>
    <t>иные производственные расходы</t>
  </si>
  <si>
    <t>L1_3</t>
  </si>
  <si>
    <t>Ремонтные расходы:</t>
  </si>
  <si>
    <t>L1_3_1</t>
  </si>
  <si>
    <t>расходы на текущий ремонт централизованных систем водоснабжения и (или) водоотведения либо объектов, входящих в состав таких систем</t>
  </si>
  <si>
    <t>L1_3_2</t>
  </si>
  <si>
    <t>расходы на капитальный ремонт централизованных систем водоснабжения и (или) водоотведения либо объектов, входящих в состав таких систем</t>
  </si>
  <si>
    <t>L1_3_3</t>
  </si>
  <si>
    <t>1.3.3</t>
  </si>
  <si>
    <t>расходы на оплату труда и страховые взносы на обязательное социальное страхование ремонтного персонала, в том числе:</t>
  </si>
  <si>
    <t>РП</t>
  </si>
  <si>
    <t>L1_3_3_1</t>
  </si>
  <si>
    <t>1.3.3.1</t>
  </si>
  <si>
    <t>расходы на оплату труда ремонтного персонала</t>
  </si>
  <si>
    <t>СОЦ_РП</t>
  </si>
  <si>
    <t>L1_3_3_2</t>
  </si>
  <si>
    <t>1.3.3.2</t>
  </si>
  <si>
    <t>страховые взносы на обязательное социальное страхование ремонтного персонала</t>
  </si>
  <si>
    <t>L1_4</t>
  </si>
  <si>
    <t>p3</t>
  </si>
  <si>
    <t>L1_4_1</t>
  </si>
  <si>
    <t>1.4.1</t>
  </si>
  <si>
    <t>расходы на оплату работ и услуг, выполняемых сторонними организациями, в том числе:</t>
  </si>
  <si>
    <t>p3_1</t>
  </si>
  <si>
    <t>L1_4_1_1</t>
  </si>
  <si>
    <t>1.4.1.1</t>
  </si>
  <si>
    <t>услуги связи и интернет</t>
  </si>
  <si>
    <t>p3_2</t>
  </si>
  <si>
    <t>L1_4_1_2</t>
  </si>
  <si>
    <t>1.4.1.2</t>
  </si>
  <si>
    <t>юридические услуги</t>
  </si>
  <si>
    <t>p3_3</t>
  </si>
  <si>
    <t>L1_4_1_3</t>
  </si>
  <si>
    <t>1.4.1.3</t>
  </si>
  <si>
    <t>аудиторские услуги</t>
  </si>
  <si>
    <t>p3_4</t>
  </si>
  <si>
    <t>L1_4_1_4</t>
  </si>
  <si>
    <t>1.4.1.4</t>
  </si>
  <si>
    <t>консультационные услуги</t>
  </si>
  <si>
    <t>p3_5</t>
  </si>
  <si>
    <t>L1_4_1_5</t>
  </si>
  <si>
    <t>1.4.1.5</t>
  </si>
  <si>
    <t>услуги по вневедомственной охране объектов и территорий</t>
  </si>
  <si>
    <t>p3_6</t>
  </si>
  <si>
    <t>L1_4_1_6</t>
  </si>
  <si>
    <t>1.4.1.6</t>
  </si>
  <si>
    <t>информационные услуги</t>
  </si>
  <si>
    <t>p3_7</t>
  </si>
  <si>
    <t>L1_4_1_7</t>
  </si>
  <si>
    <t>1.4.1.7</t>
  </si>
  <si>
    <t>иные работы и (или) услуги</t>
  </si>
  <si>
    <t>L1_4_2</t>
  </si>
  <si>
    <t>1.4.2</t>
  </si>
  <si>
    <t>расходы на оплату труда и страховые взносы на обязательное социальное страхование административно-управленческого персонала, в том числе:</t>
  </si>
  <si>
    <t>АУП</t>
  </si>
  <si>
    <t>L1_4_2_1</t>
  </si>
  <si>
    <t>1.4.2.1</t>
  </si>
  <si>
    <t>расходы на оплату труда административно-управленческого персонала</t>
  </si>
  <si>
    <t>СОЦ_АУП</t>
  </si>
  <si>
    <t>L1_4_2_2</t>
  </si>
  <si>
    <t>1.4.2.2</t>
  </si>
  <si>
    <t>страховые взносы на обязательное социальное страхование административно-управленческого персонала</t>
  </si>
  <si>
    <t>p4</t>
  </si>
  <si>
    <t>L1_4_3</t>
  </si>
  <si>
    <t>1.4.3</t>
  </si>
  <si>
    <t>арендная плата, лизинговые платежи, не связанные с арендой (лизингом) централизованных систем водоснабжения и (или) водоотведения либо объектов, входящих в состав таких систем</t>
  </si>
  <si>
    <t>p5</t>
  </si>
  <si>
    <t>L1_4_4</t>
  </si>
  <si>
    <t>1.4.4</t>
  </si>
  <si>
    <t>служебные командировки</t>
  </si>
  <si>
    <t>p6</t>
  </si>
  <si>
    <t>L1_4_5</t>
  </si>
  <si>
    <t>1.4.5</t>
  </si>
  <si>
    <t>обучение персонала</t>
  </si>
  <si>
    <t>p7</t>
  </si>
  <si>
    <t>L1_4_6</t>
  </si>
  <si>
    <t>1.4.6</t>
  </si>
  <si>
    <t>страхование производственных объектов</t>
  </si>
  <si>
    <t>p8</t>
  </si>
  <si>
    <t>L1_4_7</t>
  </si>
  <si>
    <t>1.4.7</t>
  </si>
  <si>
    <t>прочие административные расходы</t>
  </si>
  <si>
    <t>p8_1</t>
  </si>
  <si>
    <t>L1_4_7_1</t>
  </si>
  <si>
    <t>1.4.7.1</t>
  </si>
  <si>
    <t>расходы на амортизацию непроизводственных активов</t>
  </si>
  <si>
    <t>p8_2</t>
  </si>
  <si>
    <t>L1_4_7_2</t>
  </si>
  <si>
    <t>1.4.7.2</t>
  </si>
  <si>
    <t>расходы по охране объектов и территорий</t>
  </si>
  <si>
    <t>p8_3</t>
  </si>
  <si>
    <t>L1_4_7_3</t>
  </si>
  <si>
    <t>1.4.7.3</t>
  </si>
  <si>
    <t>иные расходы</t>
  </si>
  <si>
    <t>L1_5</t>
  </si>
  <si>
    <t>Сбытовые расходы гарантирующих организаций (за исключением указанных в п.2.5)</t>
  </si>
  <si>
    <t>L1_6</t>
  </si>
  <si>
    <t>Реагенты до 2020 года</t>
  </si>
  <si>
    <t>L1_7</t>
  </si>
  <si>
    <t>Операционные расходы по концессионным соглашениям</t>
  </si>
  <si>
    <t>1.7.0</t>
  </si>
  <si>
    <t>Добавить</t>
  </si>
  <si>
    <t>L2</t>
  </si>
  <si>
    <t>L2_1</t>
  </si>
  <si>
    <t>Затраты на тепловую энергию</t>
  </si>
  <si>
    <t>L2_1_1</t>
  </si>
  <si>
    <t>2.1.1</t>
  </si>
  <si>
    <t>расходы на тепловую энергию</t>
  </si>
  <si>
    <t>Затраты на теплоноситель</t>
  </si>
  <si>
    <t>L2_1_2</t>
  </si>
  <si>
    <t>2.1.2</t>
  </si>
  <si>
    <t>расходы на теплоноситель</t>
  </si>
  <si>
    <t>Затраты на транспортировку холодной воды</t>
  </si>
  <si>
    <t>L2_1_3</t>
  </si>
  <si>
    <t>2.1.3</t>
  </si>
  <si>
    <t>расходы на транспортировку воды</t>
  </si>
  <si>
    <t>Затраты на холодную воду</t>
  </si>
  <si>
    <t>L2_1_4</t>
  </si>
  <si>
    <t>2.1.4</t>
  </si>
  <si>
    <t>расходы на покупку воды</t>
  </si>
  <si>
    <t>Затраты на горячую воду</t>
  </si>
  <si>
    <t>L2_1_5</t>
  </si>
  <si>
    <t>2.1.5</t>
  </si>
  <si>
    <t>L2_1_6</t>
  </si>
  <si>
    <t>2.1.6</t>
  </si>
  <si>
    <t>L2_1_7</t>
  </si>
  <si>
    <t>2.1.7</t>
  </si>
  <si>
    <t>Затраты на водоотведение</t>
  </si>
  <si>
    <t>L2_1_8</t>
  </si>
  <si>
    <t>2.1.8</t>
  </si>
  <si>
    <t>Затраты на транспортировку сточных вод</t>
  </si>
  <si>
    <t>L2_1_9</t>
  </si>
  <si>
    <t>2.1.9</t>
  </si>
  <si>
    <t>Затраты на очистку сточных вод</t>
  </si>
  <si>
    <t>L2_1_10</t>
  </si>
  <si>
    <t>2.1.10</t>
  </si>
  <si>
    <t>услуги по очистке сточных вод</t>
  </si>
  <si>
    <t>L2_2</t>
  </si>
  <si>
    <t>Расходы на реагенты</t>
  </si>
  <si>
    <t>L2_3</t>
  </si>
  <si>
    <t>2.3</t>
  </si>
  <si>
    <t>Налоги и сборы</t>
  </si>
  <si>
    <t>L2_3_1</t>
  </si>
  <si>
    <t>2.3.1</t>
  </si>
  <si>
    <t>налог на прибыль</t>
  </si>
  <si>
    <t>Налог на имущество</t>
  </si>
  <si>
    <t>L2_3_2</t>
  </si>
  <si>
    <t>2.3.2</t>
  </si>
  <si>
    <t>налог на имущество организаций</t>
  </si>
  <si>
    <t>L2_3_3</t>
  </si>
  <si>
    <t>2.3.3</t>
  </si>
  <si>
    <t>земельный налог и арендная плата за землю</t>
  </si>
  <si>
    <t>Водный налог</t>
  </si>
  <si>
    <t>L2_3_4</t>
  </si>
  <si>
    <t>2.3.4</t>
  </si>
  <si>
    <t>водный налог</t>
  </si>
  <si>
    <t>Плата за пользование водным объектом</t>
  </si>
  <si>
    <t>L2_3_5</t>
  </si>
  <si>
    <t>2.3.5</t>
  </si>
  <si>
    <t>плата за пользование водным объектом</t>
  </si>
  <si>
    <t>L2_3_6</t>
  </si>
  <si>
    <t>2.3.6</t>
  </si>
  <si>
    <t>транспортный налог</t>
  </si>
  <si>
    <t>L2_3_7</t>
  </si>
  <si>
    <t>2.3.7</t>
  </si>
  <si>
    <t>плата за негативное воздействие на окружающую среду</t>
  </si>
  <si>
    <t>Единый налог при упрощенной системе налогообложения</t>
  </si>
  <si>
    <t>L2_3_8</t>
  </si>
  <si>
    <t>2.3.8</t>
  </si>
  <si>
    <t>единый налог при УСН</t>
  </si>
  <si>
    <t>L2_3_9</t>
  </si>
  <si>
    <t>2.3.9</t>
  </si>
  <si>
    <t>прочие налоги и сборы</t>
  </si>
  <si>
    <t>Расходы на мероприятия по защите централизованных систем водоснабжения</t>
  </si>
  <si>
    <t>L2_4</t>
  </si>
  <si>
    <t>2.4</t>
  </si>
  <si>
    <t>Расходы на мероприятия по защите централизованных систем водоснабжения и (или) водоотведения и их отдельных объектов от угроз техногенного, природного характера и террористических актов, по предотвращению возникновения аварийных ситуаций, снижению риска и смягчению последствий чрезвычайных ситуаций (за исключением мероприятий, включенных в инвестиционную программу)</t>
  </si>
  <si>
    <t>Арендная и концессионная плата, лизинговые платежи</t>
  </si>
  <si>
    <t>L2_5</t>
  </si>
  <si>
    <t>2.5</t>
  </si>
  <si>
    <t>L2_6</t>
  </si>
  <si>
    <t>2.6</t>
  </si>
  <si>
    <t>резерв по сомнительным долгам гарантирующей организации</t>
  </si>
  <si>
    <t>L2_6_1</t>
  </si>
  <si>
    <t>2.6.1</t>
  </si>
  <si>
    <t>L2_7</t>
  </si>
  <si>
    <t>2.7</t>
  </si>
  <si>
    <t>L2_8</t>
  </si>
  <si>
    <t>2.8</t>
  </si>
  <si>
    <t>L2_9</t>
  </si>
  <si>
    <t>2.9</t>
  </si>
  <si>
    <t>L2_10</t>
  </si>
  <si>
    <t>2.10</t>
  </si>
  <si>
    <t>L2_10_1</t>
  </si>
  <si>
    <t>2.10.1</t>
  </si>
  <si>
    <t>возврат займов и кредитов</t>
  </si>
  <si>
    <t>L2_10_2</t>
  </si>
  <si>
    <t>2.10.2</t>
  </si>
  <si>
    <t>проценты по займам и кредитам</t>
  </si>
  <si>
    <t>Расходы концессионера на осуществление государственного кадастрового учета</t>
  </si>
  <si>
    <t>L2_11</t>
  </si>
  <si>
    <t>2.11</t>
  </si>
  <si>
    <t>Расходы концессионера на осуществление государственного кадастрового учета и (или) государственной регистрации права собственности концедента</t>
  </si>
  <si>
    <t>ээ</t>
  </si>
  <si>
    <t>L3</t>
  </si>
  <si>
    <t>Расходы на электрическую энергию</t>
  </si>
  <si>
    <t>амортизация</t>
  </si>
  <si>
    <t>L4</t>
  </si>
  <si>
    <t>Амортизация основных средств и нематериальных активов, относимых к объектам централизованной системы водоснабжения (водоотведения)</t>
  </si>
  <si>
    <t>L4_1</t>
  </si>
  <si>
    <t>в том числе инвестиционная (справочно)</t>
  </si>
  <si>
    <t>L5</t>
  </si>
  <si>
    <t>L5_1</t>
  </si>
  <si>
    <t>средства на возврат инвестиционных займов</t>
  </si>
  <si>
    <t>L5_2</t>
  </si>
  <si>
    <t>средства на уплату процентов по инвестиционным займам</t>
  </si>
  <si>
    <t>L5_3</t>
  </si>
  <si>
    <t>5.3</t>
  </si>
  <si>
    <t>капитальные расходы</t>
  </si>
  <si>
    <t>иные экономически обоснованные расходы на социальные нужды</t>
  </si>
  <si>
    <t>L5_4</t>
  </si>
  <si>
    <t>5.4</t>
  </si>
  <si>
    <t>иные экономически обоснованные расходы на социальные нужды в соответствии с пунктом 86 настоящих Методических указаний</t>
  </si>
  <si>
    <t>L6</t>
  </si>
  <si>
    <t>L11</t>
  </si>
  <si>
    <t>L7_0</t>
  </si>
  <si>
    <t>Корректировка НВВ всего</t>
  </si>
  <si>
    <t>Справочно в том числе:</t>
  </si>
  <si>
    <t>L7</t>
  </si>
  <si>
    <t>Ввод объектов системы водоснабжения и (или) водоотведения в эксплуатацию и изменение утверждённой инвестиционной программы</t>
  </si>
  <si>
    <t>L8</t>
  </si>
  <si>
    <t>Степень исполнения регулируемой организацией обязательств по созданию и (или) реконструкции объектов концессионного соглашения, по эксплуатации объектов по договору аренды централизованных систем горячего водоснабжения, холодного водоснабжения и (или) водоотведения, отдельных объектов таких систем, находящихся в государственной или муниципальной собственности, по реализации инвестиционной программы, производственной программы при недостижении регулируемой организацией утверждённых плановых значений показателей надежности и качества объектов централизованных систем водоснабжения и (или) водоотведения</t>
  </si>
  <si>
    <t>L9</t>
  </si>
  <si>
    <t>Размер корректировки НВВ по результатам деятельности прошлых периодов регулирования, а также осуществляемой с целью учета отклонения фактических значений параметров расчета тарифов от значений, учтенных при установлении тарифов</t>
  </si>
  <si>
    <t>L12</t>
  </si>
  <si>
    <t>Доходы от взимания платы за нарушение нормативов по объёму и (или) составу сточных вод, за исключением направленных целевым образом на внесение платы за негативное воздействие на окружающую среду, компенсацию вреда, причиненного водному объекту, и финансирование мероприятий инвестиционной программы по строительству, реконструкции и модернизации объектов централизованной системы водоотведения (в соответствии с пунктом 26(1) Основ ценообразования в сфере водоснабжения и водоотведения)</t>
  </si>
  <si>
    <t>L13</t>
  </si>
  <si>
    <t>Доходы от взимания платы за негативное воздействие на централизован-ную систему водоотведения, за исключением направленных целевым образом на финансирование мероприятий инвестиционной и (или) производственной программы организации (в соответствии с пунктом 26(1) Основ ценообразования в сфере водоснабжения и водоотведения)</t>
  </si>
  <si>
    <t>L14</t>
  </si>
  <si>
    <t>Недополученные доходы / Выпадающие расходы</t>
  </si>
  <si>
    <t>L15</t>
  </si>
  <si>
    <t>Избыток средств, полученный за отчётные периоды регулирования</t>
  </si>
  <si>
    <t>L8_1</t>
  </si>
  <si>
    <t>L15_1</t>
  </si>
  <si>
    <t>7.7.1</t>
  </si>
  <si>
    <t>Экономически не обоснованные доходы / расходы прошлых периодов регулирования</t>
  </si>
  <si>
    <t>L8_2</t>
  </si>
  <si>
    <t>L15_2</t>
  </si>
  <si>
    <t>7.7.2</t>
  </si>
  <si>
    <t>Бюджетные субсидии, полученные на финансирование расходов, учтенных в тарифах</t>
  </si>
  <si>
    <t>L16</t>
  </si>
  <si>
    <t>Величина отклонения по результатам досудебного рассмотрения споров</t>
  </si>
  <si>
    <t>L10</t>
  </si>
  <si>
    <t>L17</t>
  </si>
  <si>
    <t>Величина отклонения по результатам рассмотрения разногласий</t>
  </si>
  <si>
    <t>Величина сглаживания НВВ</t>
  </si>
  <si>
    <t>L10_1</t>
  </si>
  <si>
    <t>8.1</t>
  </si>
  <si>
    <t>% сглаживания НВВ</t>
  </si>
  <si>
    <t>Необходимая валовая выручка</t>
  </si>
  <si>
    <t>L18</t>
  </si>
  <si>
    <t>10</t>
  </si>
  <si>
    <t>Итого НВВ для расчёта тарифа</t>
  </si>
  <si>
    <t>L18_1</t>
  </si>
  <si>
    <t>10.1</t>
  </si>
  <si>
    <t>в части условно-переменных расходов</t>
  </si>
  <si>
    <t>L18_2</t>
  </si>
  <si>
    <t>10.2</t>
  </si>
  <si>
    <t>в части условно-постоянных расходов</t>
  </si>
  <si>
    <t>ПО.прочие</t>
  </si>
  <si>
    <t>L19</t>
  </si>
  <si>
    <t>11</t>
  </si>
  <si>
    <t>Полезный отпуск без разбивки по группам потребителей</t>
  </si>
  <si>
    <t>ПО.прочие.I</t>
  </si>
  <si>
    <t>L19_1</t>
  </si>
  <si>
    <t>11.1</t>
  </si>
  <si>
    <t>I полугодие: объём реализации</t>
  </si>
  <si>
    <t>тариф.прочие.I</t>
  </si>
  <si>
    <t>L19_2</t>
  </si>
  <si>
    <t>11.2</t>
  </si>
  <si>
    <t>I полугодие: тариф</t>
  </si>
  <si>
    <t>руб./куб.м</t>
  </si>
  <si>
    <t>ПО.прочие.II</t>
  </si>
  <si>
    <t>L19_3</t>
  </si>
  <si>
    <t>11.3</t>
  </si>
  <si>
    <t>II полугодие: объём реализации</t>
  </si>
  <si>
    <t>тариф.прочие.II</t>
  </si>
  <si>
    <t>L19_4</t>
  </si>
  <si>
    <t>11.4</t>
  </si>
  <si>
    <t>II полугодие: тариф</t>
  </si>
  <si>
    <t>L19_5</t>
  </si>
  <si>
    <t>11.5</t>
  </si>
  <si>
    <t>темп роста тарифа</t>
  </si>
  <si>
    <t>L19_6</t>
  </si>
  <si>
    <t>11.6</t>
  </si>
  <si>
    <t>средневзвешенный тариф</t>
  </si>
  <si>
    <t>L20</t>
  </si>
  <si>
    <t>12</t>
  </si>
  <si>
    <t>Итого НВВ для населения</t>
  </si>
  <si>
    <t>ПО.население</t>
  </si>
  <si>
    <t>L21</t>
  </si>
  <si>
    <t>13</t>
  </si>
  <si>
    <t>Полезный отпуск для населения:</t>
  </si>
  <si>
    <t>ПО.население.I</t>
  </si>
  <si>
    <t>L21_1</t>
  </si>
  <si>
    <t>13.1</t>
  </si>
  <si>
    <t>I полугодие: объём реализации по населению</t>
  </si>
  <si>
    <t>тариф.население.I</t>
  </si>
  <si>
    <t>L21_2</t>
  </si>
  <si>
    <t>13.2</t>
  </si>
  <si>
    <t>I полугодие: тариф для населения</t>
  </si>
  <si>
    <t>ПО.население.II</t>
  </si>
  <si>
    <t>L21_3</t>
  </si>
  <si>
    <t>13.3</t>
  </si>
  <si>
    <t>II полугодие: объём реализации по населению</t>
  </si>
  <si>
    <t>тариф.население.II</t>
  </si>
  <si>
    <t>L21_4</t>
  </si>
  <si>
    <t>13.4</t>
  </si>
  <si>
    <t>II полугодие: тариф для населения</t>
  </si>
  <si>
    <t>Комментарии и обоснования к разделу</t>
  </si>
  <si>
    <t>Добавить комментарий</t>
  </si>
  <si>
    <t>2023 год</t>
  </si>
  <si>
    <t>2029 год</t>
  </si>
  <si>
    <t>2030 год</t>
  </si>
  <si>
    <t>2031 год</t>
  </si>
  <si>
    <t>2032 год</t>
  </si>
  <si>
    <t>2033 год</t>
  </si>
  <si>
    <t>2034 год</t>
  </si>
  <si>
    <t>Кировская область / 2025 / МКП "Коммунальные системы" (ИНН:4307012010, КПП:430701001) / ДПР: 2024-2028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</si>
</sst>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.000"/>
    <numFmt numFmtId="165" formatCode="0.000%"/>
    <numFmt numFmtId="166" formatCode="0.0000"/>
    <numFmt numFmtId="167" formatCode="#,##0.0"/>
    <numFmt numFmtId="168" formatCode="0.0"/>
    <numFmt numFmtId="169" formatCode="#,##0.000"/>
    <numFmt numFmtId="170" formatCode="_-* #,##0.00_р_._-;\-* #,##0.00_р_._-;_-* &quot;-&quot;??_р_._-;_-@_-"/>
    <numFmt numFmtId="171" formatCode="&quot;00&quot;0"/>
    <numFmt numFmtId="172" formatCode="&quot;000&quot;0"/>
  </numFmts>
  <fonts count="7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color indexed="8"/>
      <name val="Tahoma"/>
      <family val="2"/>
      <charset val="204"/>
    </font>
    <font>
      <sz val="16"/>
      <color indexed="8"/>
      <name val="Tahoma"/>
      <family val="2"/>
      <charset val="204"/>
    </font>
    <font>
      <sz val="16"/>
      <name val="Arial"/>
      <family val="2"/>
      <charset val="204"/>
    </font>
    <font>
      <sz val="12"/>
      <name val="Arial"/>
      <family val="2"/>
      <charset val="204"/>
    </font>
    <font>
      <b/>
      <sz val="12"/>
      <color rgb="FFFF0000"/>
      <name val="Tahoma"/>
      <family val="2"/>
      <charset val="204"/>
    </font>
    <font>
      <b/>
      <sz val="16"/>
      <color rgb="FFFF0000"/>
      <name val="Tahoma"/>
      <family val="2"/>
      <charset val="204"/>
    </font>
    <font>
      <b/>
      <sz val="16"/>
      <color indexed="8"/>
      <name val="Tahoma"/>
      <family val="2"/>
      <charset val="204"/>
    </font>
    <font>
      <b/>
      <sz val="16"/>
      <name val="Tahoma"/>
      <family val="2"/>
      <charset val="204"/>
    </font>
    <font>
      <sz val="10"/>
      <name val="Arial"/>
      <family val="2"/>
      <charset val="204"/>
    </font>
    <font>
      <sz val="16"/>
      <name val="Tahoma"/>
      <family val="2"/>
      <charset val="204"/>
    </font>
    <font>
      <sz val="12"/>
      <name val="Tahoma"/>
      <family val="2"/>
      <charset val="204"/>
    </font>
    <font>
      <sz val="10"/>
      <name val="Times New Roman CYR"/>
      <charset val="204"/>
    </font>
    <font>
      <b/>
      <sz val="14"/>
      <name val="Tahoma"/>
      <family val="2"/>
      <charset val="204"/>
    </font>
    <font>
      <b/>
      <sz val="14"/>
      <color indexed="10"/>
      <name val="Tahoma"/>
      <family val="2"/>
      <charset val="204"/>
    </font>
    <font>
      <sz val="14"/>
      <name val="Tahoma"/>
      <family val="2"/>
      <charset val="204"/>
    </font>
    <font>
      <b/>
      <sz val="12"/>
      <name val="Tahoma"/>
      <family val="2"/>
      <charset val="204"/>
    </font>
    <font>
      <sz val="10"/>
      <name val="Arial Cyr"/>
    </font>
    <font>
      <b/>
      <sz val="16"/>
      <color theme="1"/>
      <name val="Tahoma"/>
      <family val="2"/>
      <charset val="204"/>
    </font>
    <font>
      <sz val="16"/>
      <color theme="1"/>
      <name val="Tahoma"/>
      <family val="2"/>
      <charset val="204"/>
    </font>
    <font>
      <b/>
      <sz val="12"/>
      <color theme="1"/>
      <name val="Tahoma"/>
      <family val="2"/>
      <charset val="204"/>
    </font>
    <font>
      <sz val="16"/>
      <color indexed="9"/>
      <name val="Arial"/>
      <family val="2"/>
      <charset val="204"/>
    </font>
    <font>
      <sz val="12"/>
      <color indexed="9"/>
      <name val="Arial"/>
      <family val="2"/>
      <charset val="204"/>
    </font>
    <font>
      <u/>
      <sz val="12"/>
      <color indexed="9"/>
      <name val="Tahoma"/>
      <family val="2"/>
      <charset val="204"/>
    </font>
    <font>
      <sz val="16"/>
      <color indexed="9"/>
      <name val="Tahoma"/>
      <family val="2"/>
      <charset val="204"/>
    </font>
    <font>
      <b/>
      <sz val="14"/>
      <color indexed="81"/>
      <name val="Tahoma"/>
      <family val="2"/>
      <charset val="204"/>
    </font>
    <font>
      <b/>
      <sz val="14"/>
      <color theme="1"/>
      <name val="Tahoma"/>
      <family val="2"/>
      <charset val="204"/>
    </font>
    <font>
      <b/>
      <sz val="10"/>
      <name val="Arial Cyr"/>
      <charset val="204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9"/>
      <name val="Tahoma"/>
      <family val="2"/>
      <charset val="204"/>
    </font>
    <font>
      <b/>
      <sz val="14"/>
      <name val="Times New Roman"/>
      <family val="1"/>
      <charset val="204"/>
    </font>
    <font>
      <sz val="9"/>
      <name val="Tahoma"/>
      <family val="2"/>
      <charset val="204"/>
    </font>
    <font>
      <b/>
      <sz val="9"/>
      <name val="Times New Roman"/>
      <family val="1"/>
      <charset val="204"/>
    </font>
    <font>
      <sz val="9"/>
      <color theme="0"/>
      <name val="Tahoma"/>
      <family val="2"/>
      <charset val="204"/>
    </font>
    <font>
      <sz val="9"/>
      <color theme="0"/>
      <name val="Times New Roman"/>
      <family val="1"/>
      <charset val="204"/>
    </font>
    <font>
      <sz val="1"/>
      <color theme="0"/>
      <name val="Tahoma"/>
      <family val="2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4"/>
      <name val="Arial Cyr"/>
      <charset val="204"/>
    </font>
    <font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</font>
    <font>
      <sz val="11"/>
      <color theme="1"/>
      <name val="Calibri"/>
      <family val="2"/>
      <charset val="204"/>
    </font>
    <font>
      <sz val="12"/>
      <color theme="1"/>
      <name val="Tahoma"/>
      <family val="2"/>
      <charset val="204"/>
    </font>
    <font>
      <sz val="16"/>
      <color rgb="FFFF0000"/>
      <name val="Tahoma"/>
      <family val="2"/>
      <charset val="204"/>
    </font>
    <font>
      <sz val="18"/>
      <color indexed="8"/>
      <name val="Tahoma"/>
      <family val="2"/>
      <charset val="204"/>
    </font>
    <font>
      <sz val="14"/>
      <color theme="1"/>
      <name val="Tahoma"/>
      <family val="2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Tahoma"/>
      <family val="2"/>
      <charset val="204"/>
    </font>
    <font>
      <sz val="9"/>
      <color theme="1"/>
      <name val="Tahoma"/>
      <family val="2"/>
      <charset val="204"/>
    </font>
    <font>
      <sz val="11"/>
      <color theme="1"/>
      <name val="Calibri"/>
      <family val="2"/>
      <scheme val="minor"/>
    </font>
    <font>
      <sz val="8"/>
      <name val="Tahoma"/>
      <family val="2"/>
      <charset val="204"/>
    </font>
    <font>
      <b/>
      <sz val="9"/>
      <color theme="1"/>
      <name val="Tahoma"/>
      <family val="2"/>
      <charset val="204"/>
    </font>
    <font>
      <b/>
      <sz val="8"/>
      <color theme="1"/>
      <name val="Tahoma"/>
      <family val="2"/>
      <charset val="204"/>
    </font>
    <font>
      <sz val="8"/>
      <color rgb="FF0070C0"/>
      <name val="Tahoma"/>
      <family val="2"/>
      <charset val="204"/>
    </font>
    <font>
      <b/>
      <sz val="9"/>
      <color indexed="62"/>
      <name val="Tahoma"/>
      <family val="2"/>
      <charset val="204"/>
    </font>
    <font>
      <sz val="11"/>
      <color indexed="22"/>
      <name val="Wingdings 2"/>
      <family val="1"/>
      <charset val="2"/>
    </font>
  </fonts>
  <fills count="2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C0"/>
      </patternFill>
    </fill>
    <fill>
      <patternFill patternType="solid">
        <fgColor rgb="FFD7EAD3"/>
      </patternFill>
    </fill>
    <fill>
      <patternFill patternType="solid">
        <fgColor rgb="FFE3FAFD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89FA6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D7EAD3"/>
        <bgColor indexed="64"/>
      </patternFill>
    </fill>
    <fill>
      <patternFill patternType="lightDown">
        <fgColor indexed="22"/>
      </patternFill>
    </fill>
    <fill>
      <patternFill patternType="solid">
        <fgColor indexed="29"/>
        <bgColor indexed="64"/>
      </patternFill>
    </fill>
    <fill>
      <patternFill patternType="solid">
        <fgColor rgb="FFFFFFCC"/>
        <bgColor indexed="64"/>
      </patternFill>
    </fill>
  </fills>
  <borders count="8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theme="0" tint="-0.249977111117893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9">
    <xf numFmtId="0" fontId="0" fillId="0" borderId="0"/>
    <xf numFmtId="0" fontId="2" fillId="0" borderId="0"/>
    <xf numFmtId="0" fontId="1" fillId="0" borderId="0"/>
    <xf numFmtId="0" fontId="11" fillId="0" borderId="0"/>
    <xf numFmtId="0" fontId="1" fillId="0" borderId="0"/>
    <xf numFmtId="0" fontId="14" fillId="0" borderId="0"/>
    <xf numFmtId="0" fontId="1" fillId="0" borderId="0"/>
    <xf numFmtId="0" fontId="19" fillId="0" borderId="0"/>
    <xf numFmtId="0" fontId="11" fillId="0" borderId="0"/>
    <xf numFmtId="9" fontId="11" fillId="0" borderId="0" applyFont="0" applyFill="0" applyBorder="0" applyAlignment="0" applyProtection="0"/>
    <xf numFmtId="0" fontId="1" fillId="0" borderId="0"/>
    <xf numFmtId="0" fontId="34" fillId="0" borderId="60" applyFill="0">
      <alignment horizontal="center" vertical="center" wrapText="1"/>
    </xf>
    <xf numFmtId="0" fontId="36" fillId="11" borderId="0" applyBorder="0">
      <alignment horizontal="center" vertical="center"/>
      <protection locked="0"/>
    </xf>
    <xf numFmtId="0" fontId="34" fillId="0" borderId="60" applyFill="0">
      <alignment horizontal="center" vertical="center"/>
    </xf>
    <xf numFmtId="0" fontId="34" fillId="0" borderId="61" applyFill="0">
      <alignment horizontal="right" vertical="center" wrapText="1" indent="1"/>
    </xf>
    <xf numFmtId="0" fontId="34" fillId="0" borderId="62" applyFill="0">
      <alignment horizontal="right" vertical="center" wrapText="1" indent="1"/>
    </xf>
    <xf numFmtId="0" fontId="36" fillId="0" borderId="63" applyFill="0">
      <alignment horizontal="center" vertical="center" wrapText="1"/>
    </xf>
    <xf numFmtId="0" fontId="36" fillId="0" borderId="61" applyFill="0">
      <alignment horizontal="right" vertical="center" wrapText="1" indent="1"/>
    </xf>
    <xf numFmtId="0" fontId="36" fillId="0" borderId="62" applyFill="0">
      <alignment horizontal="right" vertical="center" wrapText="1" indent="1"/>
    </xf>
    <xf numFmtId="0" fontId="36" fillId="0" borderId="64" applyFill="0">
      <alignment horizontal="center" vertical="center"/>
    </xf>
    <xf numFmtId="0" fontId="36" fillId="0" borderId="0" applyFill="0" applyBorder="0"/>
    <xf numFmtId="0" fontId="36" fillId="0" borderId="61" applyFill="0">
      <alignment horizontal="center" vertical="center" wrapText="1"/>
    </xf>
    <xf numFmtId="0" fontId="36" fillId="0" borderId="65" applyFill="0">
      <alignment horizontal="center" vertical="center" wrapText="1"/>
    </xf>
    <xf numFmtId="0" fontId="36" fillId="0" borderId="66" applyFill="0">
      <alignment horizontal="center" vertical="center" wrapText="1"/>
    </xf>
    <xf numFmtId="0" fontId="36" fillId="0" borderId="62" applyFill="0">
      <alignment horizontal="center" vertical="center" wrapText="1"/>
    </xf>
    <xf numFmtId="0" fontId="36" fillId="0" borderId="60" applyFill="0">
      <alignment horizontal="center" vertical="center" wrapText="1"/>
    </xf>
    <xf numFmtId="0" fontId="36" fillId="0" borderId="67" applyFill="0">
      <alignment horizontal="center" vertical="center" wrapText="1"/>
    </xf>
    <xf numFmtId="0" fontId="36" fillId="0" borderId="64" applyFill="0">
      <alignment horizontal="center" vertical="center" wrapText="1"/>
    </xf>
    <xf numFmtId="49" fontId="36" fillId="0" borderId="61" applyFill="0">
      <alignment horizontal="center" vertical="center" wrapText="1"/>
    </xf>
    <xf numFmtId="0" fontId="36" fillId="0" borderId="62" applyFill="0">
      <alignment horizontal="left" vertical="center" wrapText="1"/>
    </xf>
    <xf numFmtId="0" fontId="36" fillId="0" borderId="61" applyFill="0">
      <alignment horizontal="center" vertical="center"/>
    </xf>
    <xf numFmtId="4" fontId="36" fillId="12" borderId="61">
      <alignment vertical="center" wrapText="1"/>
    </xf>
    <xf numFmtId="4" fontId="36" fillId="12" borderId="62">
      <alignment vertical="center" wrapText="1"/>
    </xf>
    <xf numFmtId="0" fontId="36" fillId="0" borderId="65" applyFill="0">
      <alignment horizontal="center" vertical="center"/>
    </xf>
    <xf numFmtId="0" fontId="36" fillId="0" borderId="68" applyFill="0">
      <alignment horizontal="center" vertical="center" wrapText="1"/>
    </xf>
    <xf numFmtId="0" fontId="36" fillId="0" borderId="67" applyFill="0">
      <alignment horizontal="center" vertical="center"/>
    </xf>
    <xf numFmtId="0" fontId="38" fillId="0" borderId="0" applyFill="0" applyBorder="0"/>
    <xf numFmtId="169" fontId="36" fillId="0" borderId="61" applyFill="0">
      <alignment horizontal="center" vertical="center" wrapText="1"/>
    </xf>
    <xf numFmtId="49" fontId="38" fillId="0" borderId="0" applyFill="0" applyBorder="0"/>
    <xf numFmtId="0" fontId="36" fillId="0" borderId="62" applyFill="0">
      <alignment horizontal="left" vertical="center" wrapText="1" indent="1"/>
    </xf>
    <xf numFmtId="4" fontId="36" fillId="13" borderId="61">
      <alignment vertical="center" wrapText="1"/>
      <protection locked="0"/>
    </xf>
    <xf numFmtId="0" fontId="34" fillId="0" borderId="60" applyFill="0">
      <alignment horizontal="left" vertical="center" indent="1"/>
    </xf>
    <xf numFmtId="0" fontId="36" fillId="0" borderId="66" applyFill="0">
      <alignment horizontal="center" vertical="center"/>
    </xf>
    <xf numFmtId="0" fontId="36" fillId="0" borderId="62" applyFill="0">
      <alignment horizontal="left" vertical="center"/>
    </xf>
    <xf numFmtId="0" fontId="36" fillId="0" borderId="60" applyFill="0">
      <alignment horizontal="left" vertical="center"/>
    </xf>
    <xf numFmtId="49" fontId="36" fillId="0" borderId="61" applyFill="0">
      <alignment horizontal="center" vertical="center"/>
    </xf>
    <xf numFmtId="170" fontId="36" fillId="0" borderId="61" applyFill="0">
      <alignment horizontal="center" vertical="center"/>
    </xf>
    <xf numFmtId="4" fontId="36" fillId="12" borderId="61">
      <alignment horizontal="right" vertical="center" wrapText="1"/>
    </xf>
    <xf numFmtId="0" fontId="38" fillId="0" borderId="73" applyFill="0"/>
    <xf numFmtId="0" fontId="40" fillId="0" borderId="73" applyFill="0">
      <alignment wrapText="1"/>
    </xf>
    <xf numFmtId="0" fontId="36" fillId="0" borderId="68" applyFill="0">
      <alignment horizontal="left" vertical="center"/>
    </xf>
    <xf numFmtId="0" fontId="36" fillId="0" borderId="61" applyFill="0">
      <alignment horizontal="left" vertical="center" wrapText="1"/>
    </xf>
    <xf numFmtId="4" fontId="36" fillId="11" borderId="61">
      <alignment vertical="center" wrapText="1"/>
      <protection locked="0"/>
    </xf>
    <xf numFmtId="0" fontId="60" fillId="0" borderId="0"/>
    <xf numFmtId="0" fontId="60" fillId="0" borderId="0"/>
    <xf numFmtId="0" fontId="63" fillId="0" borderId="0"/>
    <xf numFmtId="0" fontId="63" fillId="0" borderId="0"/>
    <xf numFmtId="0" fontId="60" fillId="0" borderId="0"/>
    <xf numFmtId="0" fontId="60" fillId="0" borderId="0"/>
  </cellStyleXfs>
  <cellXfs count="814">
    <xf numFmtId="0" fontId="0" fillId="0" borderId="0" xfId="0"/>
    <xf numFmtId="0" fontId="3" fillId="2" borderId="0" xfId="1" applyFont="1" applyFill="1" applyProtection="1"/>
    <xf numFmtId="0" fontId="3" fillId="2" borderId="0" xfId="1" applyFont="1" applyFill="1" applyAlignment="1" applyProtection="1">
      <alignment wrapText="1"/>
    </xf>
    <xf numFmtId="0" fontId="4" fillId="2" borderId="0" xfId="1" applyFont="1" applyFill="1" applyProtection="1"/>
    <xf numFmtId="0" fontId="5" fillId="2" borderId="0" xfId="0" applyFont="1" applyFill="1"/>
    <xf numFmtId="0" fontId="6" fillId="2" borderId="0" xfId="0" applyFont="1" applyFill="1"/>
    <xf numFmtId="0" fontId="6" fillId="2" borderId="0" xfId="0" applyFont="1" applyFill="1" applyAlignment="1">
      <alignment wrapText="1"/>
    </xf>
    <xf numFmtId="0" fontId="7" fillId="2" borderId="0" xfId="1" applyFont="1" applyFill="1" applyProtection="1"/>
    <xf numFmtId="0" fontId="8" fillId="2" borderId="0" xfId="1" applyFont="1" applyFill="1" applyAlignment="1" applyProtection="1">
      <alignment horizontal="center"/>
    </xf>
    <xf numFmtId="0" fontId="9" fillId="2" borderId="0" xfId="1" applyFont="1" applyFill="1" applyAlignment="1" applyProtection="1">
      <alignment horizontal="center"/>
    </xf>
    <xf numFmtId="0" fontId="12" fillId="2" borderId="0" xfId="3" applyFont="1" applyFill="1" applyProtection="1"/>
    <xf numFmtId="0" fontId="13" fillId="2" borderId="0" xfId="2" applyFont="1" applyFill="1" applyBorder="1" applyAlignment="1" applyProtection="1">
      <alignment horizontal="center" vertical="top"/>
    </xf>
    <xf numFmtId="0" fontId="13" fillId="2" borderId="0" xfId="2" applyFont="1" applyFill="1" applyBorder="1" applyAlignment="1" applyProtection="1">
      <alignment horizontal="center" vertical="top" wrapText="1"/>
    </xf>
    <xf numFmtId="0" fontId="12" fillId="2" borderId="0" xfId="2" applyFont="1" applyFill="1" applyBorder="1" applyAlignment="1" applyProtection="1">
      <alignment horizontal="center" vertical="top"/>
    </xf>
    <xf numFmtId="0" fontId="15" fillId="2" borderId="13" xfId="6" applyFont="1" applyFill="1" applyBorder="1" applyAlignment="1" applyProtection="1">
      <alignment horizontal="center" vertical="center" wrapText="1"/>
    </xf>
    <xf numFmtId="0" fontId="17" fillId="2" borderId="0" xfId="3" applyFont="1" applyFill="1" applyProtection="1"/>
    <xf numFmtId="0" fontId="15" fillId="2" borderId="39" xfId="6" applyFont="1" applyFill="1" applyBorder="1" applyAlignment="1" applyProtection="1">
      <alignment horizontal="center" vertical="center" wrapText="1"/>
    </xf>
    <xf numFmtId="0" fontId="15" fillId="2" borderId="37" xfId="6" applyFont="1" applyFill="1" applyBorder="1" applyAlignment="1" applyProtection="1">
      <alignment horizontal="center" vertical="center" wrapText="1"/>
    </xf>
    <xf numFmtId="0" fontId="18" fillId="2" borderId="11" xfId="3" applyFont="1" applyFill="1" applyBorder="1" applyAlignment="1" applyProtection="1">
      <alignment horizontal="center" vertical="center"/>
    </xf>
    <xf numFmtId="0" fontId="18" fillId="2" borderId="11" xfId="2" applyFont="1" applyFill="1" applyBorder="1" applyAlignment="1" applyProtection="1">
      <alignment horizontal="left" vertical="center" wrapText="1"/>
    </xf>
    <xf numFmtId="0" fontId="13" fillId="2" borderId="11" xfId="2" applyFont="1" applyFill="1" applyBorder="1" applyAlignment="1" applyProtection="1">
      <alignment horizontal="center" vertical="center"/>
    </xf>
    <xf numFmtId="0" fontId="12" fillId="2" borderId="11" xfId="2" applyFont="1" applyFill="1" applyBorder="1" applyAlignment="1" applyProtection="1">
      <alignment horizontal="center" vertical="center"/>
    </xf>
    <xf numFmtId="0" fontId="12" fillId="2" borderId="25" xfId="3" applyFont="1" applyFill="1" applyBorder="1" applyProtection="1"/>
    <xf numFmtId="0" fontId="12" fillId="2" borderId="40" xfId="3" applyFont="1" applyFill="1" applyBorder="1" applyProtection="1"/>
    <xf numFmtId="0" fontId="12" fillId="2" borderId="28" xfId="3" applyFont="1" applyFill="1" applyBorder="1" applyProtection="1"/>
    <xf numFmtId="0" fontId="12" fillId="2" borderId="27" xfId="3" applyFont="1" applyFill="1" applyBorder="1" applyProtection="1"/>
    <xf numFmtId="49" fontId="18" fillId="2" borderId="41" xfId="7" applyNumberFormat="1" applyFont="1" applyFill="1" applyBorder="1" applyAlignment="1" applyProtection="1">
      <alignment horizontal="center" vertical="center" wrapText="1"/>
    </xf>
    <xf numFmtId="0" fontId="18" fillId="2" borderId="41" xfId="2" applyFont="1" applyFill="1" applyBorder="1" applyAlignment="1" applyProtection="1">
      <alignment horizontal="left" vertical="center" wrapText="1"/>
    </xf>
    <xf numFmtId="0" fontId="18" fillId="2" borderId="41" xfId="2" applyFont="1" applyFill="1" applyBorder="1" applyAlignment="1" applyProtection="1">
      <alignment horizontal="center" vertical="center"/>
    </xf>
    <xf numFmtId="2" fontId="10" fillId="2" borderId="41" xfId="3" applyNumberFormat="1" applyFont="1" applyFill="1" applyBorder="1" applyAlignment="1" applyProtection="1">
      <alignment horizontal="center" vertical="center"/>
      <protection locked="0"/>
    </xf>
    <xf numFmtId="2" fontId="10" fillId="2" borderId="42" xfId="3" applyNumberFormat="1" applyFont="1" applyFill="1" applyBorder="1" applyAlignment="1" applyProtection="1">
      <alignment horizontal="center" vertical="center"/>
      <protection locked="0"/>
    </xf>
    <xf numFmtId="2" fontId="10" fillId="2" borderId="1" xfId="3" applyNumberFormat="1" applyFont="1" applyFill="1" applyBorder="1" applyAlignment="1" applyProtection="1">
      <alignment horizontal="center" vertical="center"/>
      <protection locked="0"/>
    </xf>
    <xf numFmtId="2" fontId="10" fillId="2" borderId="43" xfId="3" applyNumberFormat="1" applyFont="1" applyFill="1" applyBorder="1" applyAlignment="1" applyProtection="1">
      <alignment horizontal="center" vertical="center"/>
      <protection locked="0"/>
    </xf>
    <xf numFmtId="2" fontId="10" fillId="2" borderId="44" xfId="3" applyNumberFormat="1" applyFont="1" applyFill="1" applyBorder="1" applyAlignment="1" applyProtection="1">
      <alignment horizontal="center" vertical="center"/>
      <protection locked="0"/>
    </xf>
    <xf numFmtId="2" fontId="12" fillId="2" borderId="0" xfId="3" applyNumberFormat="1" applyFont="1" applyFill="1" applyProtection="1"/>
    <xf numFmtId="0" fontId="13" fillId="2" borderId="41" xfId="2" applyFont="1" applyFill="1" applyBorder="1" applyAlignment="1" applyProtection="1">
      <alignment horizontal="right" vertical="center" wrapText="1"/>
    </xf>
    <xf numFmtId="0" fontId="13" fillId="2" borderId="41" xfId="2" applyFont="1" applyFill="1" applyBorder="1" applyAlignment="1" applyProtection="1">
      <alignment horizontal="center" vertical="center"/>
    </xf>
    <xf numFmtId="2" fontId="12" fillId="2" borderId="41" xfId="8" applyNumberFormat="1" applyFont="1" applyFill="1" applyBorder="1" applyAlignment="1" applyProtection="1">
      <alignment horizontal="center" vertical="center" wrapText="1"/>
      <protection locked="0"/>
    </xf>
    <xf numFmtId="2" fontId="12" fillId="2" borderId="3" xfId="8" applyNumberFormat="1" applyFont="1" applyFill="1" applyBorder="1" applyAlignment="1" applyProtection="1">
      <alignment horizontal="center" vertical="center" wrapText="1"/>
      <protection locked="0"/>
    </xf>
    <xf numFmtId="2" fontId="12" fillId="2" borderId="42" xfId="8" applyNumberFormat="1" applyFont="1" applyFill="1" applyBorder="1" applyAlignment="1" applyProtection="1">
      <alignment horizontal="center" vertical="center" wrapText="1"/>
      <protection locked="0"/>
    </xf>
    <xf numFmtId="2" fontId="12" fillId="2" borderId="1" xfId="8" applyNumberFormat="1" applyFont="1" applyFill="1" applyBorder="1" applyAlignment="1" applyProtection="1">
      <alignment horizontal="center" vertical="center" wrapText="1"/>
      <protection locked="0"/>
    </xf>
    <xf numFmtId="2" fontId="12" fillId="2" borderId="43" xfId="8" applyNumberFormat="1" applyFont="1" applyFill="1" applyBorder="1" applyAlignment="1" applyProtection="1">
      <alignment horizontal="center" vertical="center" wrapText="1"/>
      <protection locked="0"/>
    </xf>
    <xf numFmtId="2" fontId="12" fillId="2" borderId="44" xfId="8" applyNumberFormat="1" applyFont="1" applyFill="1" applyBorder="1" applyAlignment="1" applyProtection="1">
      <alignment horizontal="center" vertical="center" wrapText="1"/>
      <protection locked="0"/>
    </xf>
    <xf numFmtId="2" fontId="12" fillId="2" borderId="42" xfId="3" applyNumberFormat="1" applyFont="1" applyFill="1" applyBorder="1" applyAlignment="1" applyProtection="1">
      <alignment horizontal="center" vertical="center"/>
      <protection locked="0"/>
    </xf>
    <xf numFmtId="2" fontId="12" fillId="2" borderId="44" xfId="3" applyNumberFormat="1" applyFont="1" applyFill="1" applyBorder="1" applyAlignment="1" applyProtection="1">
      <alignment horizontal="center" vertical="center"/>
    </xf>
    <xf numFmtId="0" fontId="13" fillId="2" borderId="41" xfId="4" applyFont="1" applyFill="1" applyBorder="1" applyAlignment="1" applyProtection="1">
      <alignment horizontal="right" vertical="center" wrapText="1"/>
    </xf>
    <xf numFmtId="49" fontId="18" fillId="2" borderId="41" xfId="2" applyNumberFormat="1" applyFont="1" applyFill="1" applyBorder="1" applyAlignment="1" applyProtection="1">
      <alignment horizontal="left" vertical="center" wrapText="1"/>
    </xf>
    <xf numFmtId="2" fontId="10" fillId="2" borderId="41" xfId="3" applyNumberFormat="1" applyFont="1" applyFill="1" applyBorder="1" applyAlignment="1" applyProtection="1">
      <alignment horizontal="center" vertical="center"/>
    </xf>
    <xf numFmtId="2" fontId="10" fillId="2" borderId="42" xfId="3" applyNumberFormat="1" applyFont="1" applyFill="1" applyBorder="1" applyAlignment="1" applyProtection="1">
      <alignment horizontal="center" vertical="center"/>
    </xf>
    <xf numFmtId="2" fontId="10" fillId="2" borderId="1" xfId="3" applyNumberFormat="1" applyFont="1" applyFill="1" applyBorder="1" applyAlignment="1" applyProtection="1">
      <alignment horizontal="center" vertical="center"/>
    </xf>
    <xf numFmtId="2" fontId="10" fillId="2" borderId="43" xfId="3" applyNumberFormat="1" applyFont="1" applyFill="1" applyBorder="1" applyAlignment="1" applyProtection="1">
      <alignment horizontal="center" vertical="center"/>
    </xf>
    <xf numFmtId="2" fontId="10" fillId="2" borderId="44" xfId="3" applyNumberFormat="1" applyFont="1" applyFill="1" applyBorder="1" applyAlignment="1" applyProtection="1">
      <alignment horizontal="center" vertical="center"/>
    </xf>
    <xf numFmtId="0" fontId="10" fillId="2" borderId="0" xfId="3" applyFont="1" applyFill="1" applyAlignment="1" applyProtection="1">
      <alignment horizontal="center" vertical="center"/>
    </xf>
    <xf numFmtId="0" fontId="12" fillId="2" borderId="0" xfId="3" applyFont="1" applyFill="1" applyAlignment="1" applyProtection="1">
      <alignment horizontal="center" vertical="center"/>
    </xf>
    <xf numFmtId="49" fontId="13" fillId="2" borderId="45" xfId="7" applyNumberFormat="1" applyFont="1" applyFill="1" applyBorder="1" applyAlignment="1" applyProtection="1">
      <alignment horizontal="center" vertical="center" wrapText="1"/>
    </xf>
    <xf numFmtId="0" fontId="13" fillId="2" borderId="45" xfId="2" applyFont="1" applyFill="1" applyBorder="1" applyAlignment="1" applyProtection="1">
      <alignment horizontal="right" vertical="center" wrapText="1"/>
    </xf>
    <xf numFmtId="0" fontId="13" fillId="2" borderId="45" xfId="2" applyFont="1" applyFill="1" applyBorder="1" applyAlignment="1" applyProtection="1">
      <alignment horizontal="center" vertical="center"/>
    </xf>
    <xf numFmtId="2" fontId="12" fillId="2" borderId="45" xfId="8" applyNumberFormat="1" applyFont="1" applyFill="1" applyBorder="1" applyAlignment="1" applyProtection="1">
      <alignment horizontal="center" vertical="center" wrapText="1"/>
      <protection locked="0"/>
    </xf>
    <xf numFmtId="2" fontId="12" fillId="2" borderId="33" xfId="8" applyNumberFormat="1" applyFont="1" applyFill="1" applyBorder="1" applyAlignment="1" applyProtection="1">
      <alignment horizontal="center" vertical="center" wrapText="1"/>
      <protection locked="0"/>
    </xf>
    <xf numFmtId="2" fontId="12" fillId="2" borderId="39" xfId="3" applyNumberFormat="1" applyFont="1" applyFill="1" applyBorder="1" applyAlignment="1" applyProtection="1">
      <alignment horizontal="center" vertical="center"/>
      <protection locked="0"/>
    </xf>
    <xf numFmtId="2" fontId="12" fillId="2" borderId="37" xfId="3" applyNumberFormat="1" applyFont="1" applyFill="1" applyBorder="1" applyAlignment="1" applyProtection="1">
      <alignment horizontal="center" vertical="center"/>
    </xf>
    <xf numFmtId="49" fontId="18" fillId="2" borderId="22" xfId="2" applyNumberFormat="1" applyFont="1" applyFill="1" applyBorder="1" applyAlignment="1" applyProtection="1">
      <alignment horizontal="center" vertical="center"/>
    </xf>
    <xf numFmtId="0" fontId="18" fillId="2" borderId="22" xfId="3" applyFont="1" applyFill="1" applyBorder="1" applyAlignment="1">
      <alignment vertical="center" wrapText="1"/>
    </xf>
    <xf numFmtId="9" fontId="18" fillId="2" borderId="11" xfId="9" applyFont="1" applyFill="1" applyBorder="1" applyAlignment="1" applyProtection="1">
      <alignment horizontal="center" vertical="center"/>
    </xf>
    <xf numFmtId="2" fontId="10" fillId="2" borderId="4" xfId="0" applyNumberFormat="1" applyFont="1" applyFill="1" applyBorder="1" applyAlignment="1" applyProtection="1">
      <alignment horizontal="center" vertical="center" wrapText="1"/>
      <protection locked="0"/>
    </xf>
    <xf numFmtId="2" fontId="10" fillId="2" borderId="47" xfId="0" applyNumberFormat="1" applyFont="1" applyFill="1" applyBorder="1" applyAlignment="1" applyProtection="1">
      <alignment horizontal="center" vertical="center" wrapText="1"/>
      <protection locked="0"/>
    </xf>
    <xf numFmtId="2" fontId="10" fillId="2" borderId="48" xfId="0" applyNumberFormat="1" applyFont="1" applyFill="1" applyBorder="1" applyAlignment="1" applyProtection="1">
      <alignment horizontal="center" vertical="center" wrapText="1"/>
      <protection locked="0"/>
    </xf>
    <xf numFmtId="2" fontId="10" fillId="2" borderId="49" xfId="0" applyNumberFormat="1" applyFont="1" applyFill="1" applyBorder="1" applyAlignment="1" applyProtection="1">
      <alignment horizontal="center" vertical="center" wrapText="1"/>
    </xf>
    <xf numFmtId="2" fontId="10" fillId="3" borderId="37" xfId="0" applyNumberFormat="1" applyFont="1" applyFill="1" applyBorder="1" applyProtection="1"/>
    <xf numFmtId="0" fontId="12" fillId="2" borderId="0" xfId="0" applyFont="1" applyFill="1" applyProtection="1"/>
    <xf numFmtId="0" fontId="13" fillId="2" borderId="41" xfId="3" applyFont="1" applyFill="1" applyBorder="1" applyAlignment="1">
      <alignment vertical="center" wrapText="1"/>
    </xf>
    <xf numFmtId="9" fontId="13" fillId="2" borderId="41" xfId="9" applyFont="1" applyFill="1" applyBorder="1" applyAlignment="1" applyProtection="1">
      <alignment horizontal="center" vertical="center"/>
    </xf>
    <xf numFmtId="2" fontId="12" fillId="2" borderId="2" xfId="8" applyNumberFormat="1" applyFont="1" applyFill="1" applyBorder="1" applyAlignment="1" applyProtection="1">
      <alignment horizontal="center" vertical="center" wrapText="1"/>
      <protection locked="0"/>
    </xf>
    <xf numFmtId="2" fontId="12" fillId="2" borderId="44" xfId="0" applyNumberFormat="1" applyFont="1" applyFill="1" applyBorder="1" applyAlignment="1" applyProtection="1">
      <alignment horizontal="center" vertical="center"/>
    </xf>
    <xf numFmtId="2" fontId="12" fillId="2" borderId="43" xfId="0" applyNumberFormat="1" applyFont="1" applyFill="1" applyBorder="1" applyAlignment="1" applyProtection="1">
      <alignment horizontal="center" vertical="center" wrapText="1"/>
      <protection locked="0"/>
    </xf>
    <xf numFmtId="2" fontId="12" fillId="2" borderId="42" xfId="3" applyNumberFormat="1" applyFont="1" applyFill="1" applyBorder="1" applyAlignment="1" applyProtection="1">
      <alignment horizontal="center" vertical="center" wrapText="1"/>
      <protection locked="0"/>
    </xf>
    <xf numFmtId="2" fontId="12" fillId="2" borderId="42" xfId="0" applyNumberFormat="1" applyFont="1" applyFill="1" applyBorder="1" applyAlignment="1" applyProtection="1">
      <alignment horizontal="center" vertical="center" wrapText="1"/>
      <protection locked="0"/>
    </xf>
    <xf numFmtId="2" fontId="12" fillId="2" borderId="2" xfId="0" applyNumberFormat="1" applyFont="1" applyFill="1" applyBorder="1" applyAlignment="1" applyProtection="1">
      <alignment horizontal="center" vertical="center" wrapText="1"/>
      <protection locked="0"/>
    </xf>
    <xf numFmtId="2" fontId="12" fillId="2" borderId="44" xfId="0" applyNumberFormat="1" applyFont="1" applyFill="1" applyBorder="1" applyAlignment="1" applyProtection="1">
      <alignment horizontal="center" vertical="center" wrapText="1"/>
      <protection locked="0"/>
    </xf>
    <xf numFmtId="2" fontId="12" fillId="2" borderId="44" xfId="0" applyNumberFormat="1" applyFont="1" applyFill="1" applyBorder="1" applyAlignment="1" applyProtection="1">
      <alignment horizontal="center" vertical="center" wrapText="1"/>
    </xf>
    <xf numFmtId="2" fontId="12" fillId="2" borderId="44" xfId="3" applyNumberFormat="1" applyFont="1" applyFill="1" applyBorder="1" applyAlignment="1" applyProtection="1">
      <alignment horizontal="center" vertical="center" wrapText="1"/>
    </xf>
    <xf numFmtId="49" fontId="13" fillId="2" borderId="41" xfId="7" applyNumberFormat="1" applyFont="1" applyFill="1" applyBorder="1" applyAlignment="1" applyProtection="1">
      <alignment horizontal="right" vertical="center" wrapText="1"/>
    </xf>
    <xf numFmtId="0" fontId="13" fillId="2" borderId="41" xfId="3" applyFont="1" applyFill="1" applyBorder="1" applyAlignment="1" applyProtection="1">
      <alignment horizontal="center" vertical="center"/>
    </xf>
    <xf numFmtId="10" fontId="12" fillId="2" borderId="2" xfId="9" applyNumberFormat="1" applyFont="1" applyFill="1" applyBorder="1" applyAlignment="1" applyProtection="1">
      <alignment horizontal="center" vertical="center" wrapText="1"/>
      <protection locked="0"/>
    </xf>
    <xf numFmtId="10" fontId="12" fillId="2" borderId="43" xfId="9" applyNumberFormat="1" applyFont="1" applyFill="1" applyBorder="1" applyAlignment="1" applyProtection="1">
      <alignment horizontal="center" vertical="center" wrapText="1"/>
      <protection locked="0"/>
    </xf>
    <xf numFmtId="10" fontId="12" fillId="2" borderId="42" xfId="9" applyNumberFormat="1" applyFont="1" applyFill="1" applyBorder="1" applyAlignment="1" applyProtection="1">
      <alignment horizontal="center" vertical="center" wrapText="1"/>
      <protection locked="0"/>
    </xf>
    <xf numFmtId="10" fontId="12" fillId="2" borderId="44" xfId="9" applyNumberFormat="1" applyFont="1" applyFill="1" applyBorder="1" applyAlignment="1" applyProtection="1">
      <alignment horizontal="center" vertical="center" wrapText="1"/>
      <protection locked="0"/>
    </xf>
    <xf numFmtId="10" fontId="12" fillId="2" borderId="43" xfId="0" applyNumberFormat="1" applyFont="1" applyFill="1" applyBorder="1" applyAlignment="1" applyProtection="1">
      <alignment horizontal="center" vertical="center" wrapText="1"/>
      <protection locked="0"/>
    </xf>
    <xf numFmtId="10" fontId="12" fillId="2" borderId="42" xfId="3" applyNumberFormat="1" applyFont="1" applyFill="1" applyBorder="1" applyAlignment="1" applyProtection="1">
      <alignment horizontal="center" vertical="center" wrapText="1"/>
      <protection locked="0"/>
    </xf>
    <xf numFmtId="2" fontId="12" fillId="2" borderId="2" xfId="9" applyNumberFormat="1" applyFont="1" applyFill="1" applyBorder="1" applyAlignment="1" applyProtection="1">
      <alignment horizontal="center" vertical="center" wrapText="1"/>
      <protection locked="0"/>
    </xf>
    <xf numFmtId="2" fontId="12" fillId="2" borderId="43" xfId="9" applyNumberFormat="1" applyFont="1" applyFill="1" applyBorder="1" applyAlignment="1" applyProtection="1">
      <alignment horizontal="center" vertical="center" wrapText="1"/>
      <protection locked="0"/>
    </xf>
    <xf numFmtId="2" fontId="12" fillId="2" borderId="42" xfId="9" applyNumberFormat="1" applyFont="1" applyFill="1" applyBorder="1" applyAlignment="1" applyProtection="1">
      <alignment horizontal="center" vertical="center" wrapText="1"/>
      <protection locked="0"/>
    </xf>
    <xf numFmtId="2" fontId="12" fillId="2" borderId="44" xfId="9" applyNumberFormat="1" applyFont="1" applyFill="1" applyBorder="1" applyAlignment="1" applyProtection="1">
      <alignment horizontal="center" vertical="center" wrapText="1"/>
      <protection locked="0"/>
    </xf>
    <xf numFmtId="2" fontId="12" fillId="2" borderId="42" xfId="0" applyNumberFormat="1" applyFont="1" applyFill="1" applyBorder="1" applyAlignment="1" applyProtection="1">
      <alignment horizontal="center" vertical="center" wrapText="1"/>
    </xf>
    <xf numFmtId="49" fontId="18" fillId="2" borderId="41" xfId="2" applyNumberFormat="1" applyFont="1" applyFill="1" applyBorder="1" applyAlignment="1" applyProtection="1">
      <alignment horizontal="center" vertical="center"/>
    </xf>
    <xf numFmtId="0" fontId="18" fillId="2" borderId="41" xfId="3" applyFont="1" applyFill="1" applyBorder="1" applyAlignment="1">
      <alignment vertical="center" wrapText="1"/>
    </xf>
    <xf numFmtId="9" fontId="18" fillId="2" borderId="41" xfId="9" applyFont="1" applyFill="1" applyBorder="1" applyAlignment="1" applyProtection="1">
      <alignment horizontal="center" vertical="center"/>
    </xf>
    <xf numFmtId="2" fontId="10" fillId="2" borderId="2" xfId="0" applyNumberFormat="1" applyFont="1" applyFill="1" applyBorder="1" applyAlignment="1" applyProtection="1">
      <alignment horizontal="center" vertical="center" wrapText="1"/>
      <protection locked="0"/>
    </xf>
    <xf numFmtId="2" fontId="10" fillId="2" borderId="43" xfId="0" applyNumberFormat="1" applyFont="1" applyFill="1" applyBorder="1" applyAlignment="1" applyProtection="1">
      <alignment horizontal="center" vertical="center" wrapText="1"/>
      <protection locked="0"/>
    </xf>
    <xf numFmtId="2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2" fontId="10" fillId="2" borderId="44" xfId="0" applyNumberFormat="1" applyFont="1" applyFill="1" applyBorder="1" applyAlignment="1" applyProtection="1">
      <alignment horizontal="center" vertical="center" wrapText="1"/>
      <protection locked="0"/>
    </xf>
    <xf numFmtId="2" fontId="10" fillId="2" borderId="43" xfId="8" applyNumberFormat="1" applyFont="1" applyFill="1" applyBorder="1" applyAlignment="1" applyProtection="1">
      <alignment horizontal="center" vertical="center" wrapText="1"/>
      <protection locked="0"/>
    </xf>
    <xf numFmtId="2" fontId="20" fillId="2" borderId="42" xfId="0" applyNumberFormat="1" applyFont="1" applyFill="1" applyBorder="1" applyAlignment="1" applyProtection="1">
      <alignment horizontal="center" vertical="center" wrapText="1"/>
      <protection locked="0"/>
    </xf>
    <xf numFmtId="2" fontId="10" fillId="2" borderId="44" xfId="0" applyNumberFormat="1" applyFont="1" applyFill="1" applyBorder="1" applyAlignment="1" applyProtection="1">
      <alignment horizontal="center" vertical="center" wrapText="1"/>
    </xf>
    <xf numFmtId="2" fontId="20" fillId="2" borderId="44" xfId="0" applyNumberFormat="1" applyFont="1" applyFill="1" applyBorder="1" applyAlignment="1" applyProtection="1">
      <alignment horizontal="center" vertical="center" wrapText="1"/>
    </xf>
    <xf numFmtId="2" fontId="12" fillId="4" borderId="0" xfId="3" applyNumberFormat="1" applyFont="1" applyFill="1" applyProtection="1"/>
    <xf numFmtId="0" fontId="10" fillId="2" borderId="0" xfId="3" applyFont="1" applyFill="1" applyProtection="1"/>
    <xf numFmtId="0" fontId="10" fillId="2" borderId="0" xfId="0" applyFont="1" applyFill="1" applyProtection="1"/>
    <xf numFmtId="2" fontId="21" fillId="2" borderId="42" xfId="0" applyNumberFormat="1" applyFont="1" applyFill="1" applyBorder="1" applyAlignment="1" applyProtection="1">
      <alignment horizontal="center" vertical="center" wrapText="1"/>
      <protection locked="0"/>
    </xf>
    <xf numFmtId="2" fontId="21" fillId="2" borderId="44" xfId="0" applyNumberFormat="1" applyFont="1" applyFill="1" applyBorder="1" applyAlignment="1" applyProtection="1">
      <alignment horizontal="center" vertical="center"/>
    </xf>
    <xf numFmtId="164" fontId="12" fillId="4" borderId="0" xfId="0" applyNumberFormat="1" applyFont="1" applyFill="1" applyProtection="1"/>
    <xf numFmtId="0" fontId="12" fillId="3" borderId="0" xfId="0" applyFont="1" applyFill="1" applyProtection="1"/>
    <xf numFmtId="0" fontId="13" fillId="2" borderId="41" xfId="7" applyFont="1" applyFill="1" applyBorder="1" applyAlignment="1" applyProtection="1">
      <alignment horizontal="right" vertical="center" wrapText="1"/>
    </xf>
    <xf numFmtId="0" fontId="13" fillId="2" borderId="41" xfId="2" applyFont="1" applyFill="1" applyBorder="1" applyAlignment="1" applyProtection="1">
      <alignment horizontal="center" vertical="center" wrapText="1"/>
    </xf>
    <xf numFmtId="2" fontId="21" fillId="2" borderId="44" xfId="0" applyNumberFormat="1" applyFont="1" applyFill="1" applyBorder="1" applyAlignment="1" applyProtection="1">
      <alignment horizontal="center" vertical="center" wrapText="1"/>
    </xf>
    <xf numFmtId="2" fontId="10" fillId="2" borderId="44" xfId="3" applyNumberFormat="1" applyFont="1" applyFill="1" applyBorder="1" applyAlignment="1" applyProtection="1">
      <alignment horizontal="center" vertical="center" wrapText="1"/>
    </xf>
    <xf numFmtId="164" fontId="12" fillId="2" borderId="0" xfId="0" applyNumberFormat="1" applyFont="1" applyFill="1" applyProtection="1"/>
    <xf numFmtId="2" fontId="21" fillId="2" borderId="44" xfId="0" applyNumberFormat="1" applyFont="1" applyFill="1" applyBorder="1" applyAlignment="1" applyProtection="1">
      <alignment horizontal="center" vertical="center" wrapText="1"/>
      <protection locked="0"/>
    </xf>
    <xf numFmtId="0" fontId="18" fillId="2" borderId="41" xfId="3" applyFont="1" applyFill="1" applyBorder="1" applyAlignment="1" applyProtection="1">
      <alignment horizontal="center" vertical="center"/>
    </xf>
    <xf numFmtId="0" fontId="12" fillId="2" borderId="0" xfId="3" applyFont="1" applyFill="1" applyBorder="1" applyProtection="1"/>
    <xf numFmtId="2" fontId="10" fillId="2" borderId="42" xfId="3" applyNumberFormat="1" applyFont="1" applyFill="1" applyBorder="1" applyAlignment="1" applyProtection="1">
      <alignment horizontal="center" vertical="center" wrapText="1"/>
      <protection locked="0"/>
    </xf>
    <xf numFmtId="2" fontId="10" fillId="2" borderId="44" xfId="3" applyNumberFormat="1" applyFont="1" applyFill="1" applyBorder="1" applyAlignment="1" applyProtection="1">
      <alignment horizontal="center" vertical="center" wrapText="1"/>
      <protection locked="0"/>
    </xf>
    <xf numFmtId="2" fontId="12" fillId="2" borderId="42" xfId="0" applyNumberFormat="1" applyFont="1" applyFill="1" applyBorder="1" applyAlignment="1" applyProtection="1">
      <alignment horizontal="center" vertical="center"/>
    </xf>
    <xf numFmtId="2" fontId="12" fillId="2" borderId="0" xfId="3" applyNumberFormat="1" applyFont="1" applyFill="1" applyBorder="1" applyProtection="1"/>
    <xf numFmtId="0" fontId="22" fillId="2" borderId="1" xfId="0" applyFont="1" applyFill="1" applyBorder="1" applyAlignment="1">
      <alignment vertical="center" wrapText="1"/>
    </xf>
    <xf numFmtId="9" fontId="22" fillId="2" borderId="41" xfId="9" applyFont="1" applyFill="1" applyBorder="1" applyAlignment="1" applyProtection="1">
      <alignment horizontal="center" vertical="center"/>
    </xf>
    <xf numFmtId="2" fontId="10" fillId="2" borderId="42" xfId="0" applyNumberFormat="1" applyFont="1" applyFill="1" applyBorder="1" applyAlignment="1" applyProtection="1">
      <alignment horizontal="center" vertical="center" wrapText="1"/>
    </xf>
    <xf numFmtId="0" fontId="18" fillId="2" borderId="41" xfId="3" applyFont="1" applyFill="1" applyBorder="1" applyAlignment="1" applyProtection="1">
      <alignment horizontal="left" vertical="center" wrapText="1"/>
    </xf>
    <xf numFmtId="49" fontId="18" fillId="2" borderId="45" xfId="7" applyNumberFormat="1" applyFont="1" applyFill="1" applyBorder="1" applyAlignment="1" applyProtection="1">
      <alignment horizontal="center" vertical="center" wrapText="1"/>
    </xf>
    <xf numFmtId="49" fontId="18" fillId="2" borderId="11" xfId="7" applyNumberFormat="1" applyFont="1" applyFill="1" applyBorder="1" applyAlignment="1" applyProtection="1">
      <alignment horizontal="center" vertical="center" wrapText="1"/>
    </xf>
    <xf numFmtId="0" fontId="12" fillId="2" borderId="48" xfId="3" applyFont="1" applyFill="1" applyBorder="1" applyAlignment="1" applyProtection="1">
      <alignment horizontal="center" vertical="center"/>
    </xf>
    <xf numFmtId="0" fontId="12" fillId="2" borderId="49" xfId="3" applyFont="1" applyFill="1" applyBorder="1" applyAlignment="1" applyProtection="1">
      <alignment horizontal="center" vertical="center"/>
    </xf>
    <xf numFmtId="0" fontId="12" fillId="2" borderId="25" xfId="3" applyFont="1" applyFill="1" applyBorder="1" applyAlignment="1" applyProtection="1">
      <alignment horizontal="center" vertical="center"/>
    </xf>
    <xf numFmtId="9" fontId="12" fillId="2" borderId="48" xfId="9" applyFont="1" applyFill="1" applyBorder="1" applyAlignment="1" applyProtection="1">
      <alignment horizontal="center" vertical="center"/>
    </xf>
    <xf numFmtId="0" fontId="12" fillId="2" borderId="54" xfId="3" applyFont="1" applyFill="1" applyBorder="1" applyAlignment="1" applyProtection="1">
      <alignment horizontal="center" vertical="center"/>
      <protection locked="0"/>
    </xf>
    <xf numFmtId="0" fontId="12" fillId="2" borderId="43" xfId="3" applyFont="1" applyFill="1" applyBorder="1" applyAlignment="1" applyProtection="1">
      <alignment horizontal="center" vertical="center"/>
      <protection locked="0"/>
    </xf>
    <xf numFmtId="0" fontId="12" fillId="2" borderId="42" xfId="3" applyFont="1" applyFill="1" applyBorder="1" applyAlignment="1" applyProtection="1">
      <alignment horizontal="center" vertical="center"/>
      <protection locked="0"/>
    </xf>
    <xf numFmtId="0" fontId="12" fillId="2" borderId="42" xfId="0" applyFont="1" applyFill="1" applyBorder="1" applyAlignment="1" applyProtection="1">
      <alignment horizontal="center" vertical="center"/>
      <protection locked="0"/>
    </xf>
    <xf numFmtId="9" fontId="12" fillId="2" borderId="42" xfId="9" applyFont="1" applyFill="1" applyBorder="1" applyAlignment="1" applyProtection="1">
      <alignment horizontal="center" vertical="center"/>
    </xf>
    <xf numFmtId="10" fontId="12" fillId="2" borderId="42" xfId="9" applyNumberFormat="1" applyFont="1" applyFill="1" applyBorder="1" applyAlignment="1" applyProtection="1">
      <alignment horizontal="center" vertical="center"/>
      <protection locked="0"/>
    </xf>
    <xf numFmtId="10" fontId="12" fillId="2" borderId="44" xfId="9" applyNumberFormat="1" applyFont="1" applyFill="1" applyBorder="1" applyAlignment="1" applyProtection="1">
      <alignment horizontal="center" vertical="center"/>
    </xf>
    <xf numFmtId="0" fontId="12" fillId="2" borderId="0" xfId="3" applyFont="1" applyFill="1" applyAlignment="1" applyProtection="1">
      <alignment horizontal="center"/>
    </xf>
    <xf numFmtId="49" fontId="18" fillId="2" borderId="30" xfId="7" applyNumberFormat="1" applyFont="1" applyFill="1" applyBorder="1" applyAlignment="1" applyProtection="1">
      <alignment horizontal="center" vertical="center" wrapText="1"/>
    </xf>
    <xf numFmtId="0" fontId="13" fillId="2" borderId="2" xfId="3" applyFont="1" applyFill="1" applyBorder="1" applyAlignment="1" applyProtection="1">
      <alignment horizontal="left" vertical="center" wrapText="1"/>
    </xf>
    <xf numFmtId="0" fontId="13" fillId="2" borderId="30" xfId="3" applyFont="1" applyFill="1" applyBorder="1" applyAlignment="1" applyProtection="1">
      <alignment horizontal="center" vertical="center"/>
    </xf>
    <xf numFmtId="165" fontId="12" fillId="2" borderId="42" xfId="0" applyNumberFormat="1" applyFont="1" applyFill="1" applyBorder="1" applyAlignment="1" applyProtection="1">
      <alignment horizontal="center" vertical="center"/>
      <protection locked="0"/>
    </xf>
    <xf numFmtId="0" fontId="13" fillId="2" borderId="31" xfId="3" applyFont="1" applyFill="1" applyBorder="1" applyAlignment="1" applyProtection="1">
      <alignment horizontal="left" vertical="center" wrapText="1"/>
    </xf>
    <xf numFmtId="2" fontId="12" fillId="2" borderId="42" xfId="0" applyNumberFormat="1" applyFont="1" applyFill="1" applyBorder="1" applyAlignment="1" applyProtection="1">
      <alignment horizontal="center" vertical="center"/>
      <protection locked="0"/>
    </xf>
    <xf numFmtId="0" fontId="12" fillId="2" borderId="39" xfId="0" applyFont="1" applyFill="1" applyBorder="1" applyAlignment="1" applyProtection="1">
      <alignment horizontal="center" vertical="center"/>
      <protection locked="0"/>
    </xf>
    <xf numFmtId="9" fontId="12" fillId="2" borderId="39" xfId="9" applyFont="1" applyFill="1" applyBorder="1" applyAlignment="1" applyProtection="1">
      <alignment horizontal="center" vertical="center"/>
    </xf>
    <xf numFmtId="0" fontId="12" fillId="2" borderId="31" xfId="3" applyFont="1" applyFill="1" applyBorder="1" applyAlignment="1" applyProtection="1">
      <alignment horizontal="center" vertical="center"/>
      <protection locked="0"/>
    </xf>
    <xf numFmtId="0" fontId="13" fillId="2" borderId="31" xfId="0" applyFont="1" applyFill="1" applyBorder="1" applyAlignment="1" applyProtection="1">
      <alignment horizontal="left" vertical="center" wrapText="1"/>
    </xf>
    <xf numFmtId="0" fontId="12" fillId="2" borderId="34" xfId="3" applyFont="1" applyFill="1" applyBorder="1" applyAlignment="1" applyProtection="1">
      <alignment horizontal="center" vertical="center"/>
      <protection locked="0"/>
    </xf>
    <xf numFmtId="0" fontId="12" fillId="2" borderId="39" xfId="3" applyFont="1" applyFill="1" applyBorder="1" applyAlignment="1" applyProtection="1">
      <alignment horizontal="center" vertical="center"/>
      <protection locked="0"/>
    </xf>
    <xf numFmtId="0" fontId="13" fillId="2" borderId="45" xfId="3" applyFont="1" applyFill="1" applyBorder="1" applyAlignment="1" applyProtection="1">
      <alignment horizontal="center" vertical="center"/>
    </xf>
    <xf numFmtId="49" fontId="18" fillId="2" borderId="26" xfId="7" applyNumberFormat="1" applyFont="1" applyFill="1" applyBorder="1" applyAlignment="1" applyProtection="1">
      <alignment horizontal="center" vertical="center" wrapText="1"/>
    </xf>
    <xf numFmtId="0" fontId="18" fillId="2" borderId="11" xfId="3" applyFont="1" applyFill="1" applyBorder="1" applyAlignment="1" applyProtection="1">
      <alignment vertical="center" wrapText="1"/>
    </xf>
    <xf numFmtId="0" fontId="13" fillId="2" borderId="12" xfId="3" applyFont="1" applyFill="1" applyBorder="1" applyAlignment="1" applyProtection="1">
      <alignment horizontal="center" vertical="center"/>
    </xf>
    <xf numFmtId="49" fontId="18" fillId="2" borderId="51" xfId="7" applyNumberFormat="1" applyFont="1" applyFill="1" applyBorder="1" applyAlignment="1" applyProtection="1">
      <alignment horizontal="center" vertical="center" wrapText="1"/>
    </xf>
    <xf numFmtId="0" fontId="13" fillId="2" borderId="41" xfId="3" applyFont="1" applyFill="1" applyBorder="1" applyAlignment="1" applyProtection="1">
      <alignment horizontal="left" vertical="center" wrapText="1"/>
    </xf>
    <xf numFmtId="0" fontId="13" fillId="2" borderId="2" xfId="3" applyFont="1" applyFill="1" applyBorder="1" applyAlignment="1" applyProtection="1">
      <alignment horizontal="center" vertical="center"/>
    </xf>
    <xf numFmtId="164" fontId="12" fillId="2" borderId="42" xfId="3" applyNumberFormat="1" applyFont="1" applyFill="1" applyBorder="1" applyAlignment="1" applyProtection="1">
      <alignment horizontal="center" vertical="center"/>
      <protection locked="0"/>
    </xf>
    <xf numFmtId="164" fontId="12" fillId="2" borderId="42" xfId="3" applyNumberFormat="1" applyFont="1" applyFill="1" applyBorder="1" applyAlignment="1" applyProtection="1">
      <alignment horizontal="center" vertical="center"/>
    </xf>
    <xf numFmtId="2" fontId="12" fillId="2" borderId="42" xfId="3" applyNumberFormat="1" applyFont="1" applyFill="1" applyBorder="1" applyAlignment="1" applyProtection="1">
      <alignment horizontal="center" vertical="center"/>
    </xf>
    <xf numFmtId="49" fontId="18" fillId="2" borderId="54" xfId="7" applyNumberFormat="1" applyFont="1" applyFill="1" applyBorder="1" applyAlignment="1" applyProtection="1">
      <alignment horizontal="center" vertical="center" wrapText="1"/>
    </xf>
    <xf numFmtId="0" fontId="13" fillId="2" borderId="44" xfId="0" applyFont="1" applyFill="1" applyBorder="1" applyAlignment="1" applyProtection="1">
      <alignment horizontal="left" vertical="center" wrapText="1"/>
    </xf>
    <xf numFmtId="0" fontId="13" fillId="2" borderId="30" xfId="3" applyFont="1" applyFill="1" applyBorder="1" applyAlignment="1" applyProtection="1">
      <alignment horizontal="left" vertical="center" wrapText="1"/>
    </xf>
    <xf numFmtId="0" fontId="13" fillId="2" borderId="31" xfId="3" applyFont="1" applyFill="1" applyBorder="1" applyAlignment="1" applyProtection="1">
      <alignment horizontal="center" vertical="center"/>
    </xf>
    <xf numFmtId="49" fontId="18" fillId="2" borderId="35" xfId="7" applyNumberFormat="1" applyFont="1" applyFill="1" applyBorder="1" applyAlignment="1" applyProtection="1">
      <alignment horizontal="center" vertical="center" wrapText="1"/>
    </xf>
    <xf numFmtId="0" fontId="13" fillId="2" borderId="45" xfId="3" applyFont="1" applyFill="1" applyBorder="1" applyAlignment="1" applyProtection="1">
      <alignment horizontal="left" vertical="center" wrapText="1"/>
    </xf>
    <xf numFmtId="0" fontId="13" fillId="2" borderId="46" xfId="3" applyFont="1" applyFill="1" applyBorder="1" applyAlignment="1" applyProtection="1">
      <alignment horizontal="center" vertical="center"/>
    </xf>
    <xf numFmtId="0" fontId="12" fillId="2" borderId="39" xfId="8" applyNumberFormat="1" applyFont="1" applyFill="1" applyBorder="1" applyAlignment="1" applyProtection="1">
      <alignment horizontal="center" vertical="center" wrapText="1"/>
      <protection locked="0"/>
    </xf>
    <xf numFmtId="0" fontId="12" fillId="2" borderId="34" xfId="8" applyNumberFormat="1" applyFont="1" applyFill="1" applyBorder="1" applyAlignment="1" applyProtection="1">
      <alignment horizontal="center" vertical="center" wrapText="1"/>
      <protection locked="0"/>
    </xf>
    <xf numFmtId="0" fontId="12" fillId="2" borderId="37" xfId="8" applyNumberFormat="1" applyFont="1" applyFill="1" applyBorder="1" applyAlignment="1" applyProtection="1">
      <alignment horizontal="center" vertical="center" wrapText="1"/>
      <protection locked="0"/>
    </xf>
    <xf numFmtId="49" fontId="18" fillId="2" borderId="19" xfId="7" applyNumberFormat="1" applyFont="1" applyFill="1" applyBorder="1" applyAlignment="1">
      <alignment horizontal="center" vertical="center" wrapText="1"/>
    </xf>
    <xf numFmtId="0" fontId="13" fillId="2" borderId="21" xfId="0" applyFont="1" applyFill="1" applyBorder="1" applyAlignment="1">
      <alignment horizontal="left" vertical="center" wrapText="1"/>
    </xf>
    <xf numFmtId="0" fontId="13" fillId="2" borderId="13" xfId="0" applyFont="1" applyFill="1" applyBorder="1" applyAlignment="1">
      <alignment horizontal="center" vertical="center"/>
    </xf>
    <xf numFmtId="0" fontId="12" fillId="2" borderId="13" xfId="8" applyFont="1" applyFill="1" applyBorder="1" applyAlignment="1" applyProtection="1">
      <alignment horizontal="center" vertical="center" wrapText="1"/>
      <protection locked="0"/>
    </xf>
    <xf numFmtId="2" fontId="12" fillId="2" borderId="13" xfId="8" applyNumberFormat="1" applyFont="1" applyFill="1" applyBorder="1" applyAlignment="1" applyProtection="1">
      <alignment horizontal="center" vertical="center" wrapText="1"/>
      <protection locked="0"/>
    </xf>
    <xf numFmtId="0" fontId="18" fillId="2" borderId="0" xfId="3" applyFont="1" applyFill="1" applyAlignment="1" applyProtection="1">
      <alignment horizontal="center" vertical="center"/>
    </xf>
    <xf numFmtId="0" fontId="13" fillId="2" borderId="0" xfId="3" applyFont="1" applyFill="1" applyAlignment="1" applyProtection="1">
      <alignment wrapText="1"/>
    </xf>
    <xf numFmtId="0" fontId="13" fillId="2" borderId="0" xfId="3" applyFont="1" applyFill="1" applyAlignment="1" applyProtection="1">
      <alignment horizontal="center" vertical="center"/>
    </xf>
    <xf numFmtId="0" fontId="13" fillId="2" borderId="0" xfId="3" applyFont="1" applyFill="1" applyAlignment="1" applyProtection="1"/>
    <xf numFmtId="0" fontId="13" fillId="2" borderId="0" xfId="3" applyFont="1" applyFill="1" applyProtection="1"/>
    <xf numFmtId="0" fontId="12" fillId="2" borderId="0" xfId="3" applyFont="1" applyFill="1" applyAlignment="1" applyProtection="1"/>
    <xf numFmtId="0" fontId="13" fillId="2" borderId="0" xfId="1" applyFont="1" applyFill="1" applyProtection="1"/>
    <xf numFmtId="0" fontId="13" fillId="2" borderId="0" xfId="1" applyFont="1" applyFill="1" applyAlignment="1" applyProtection="1">
      <alignment wrapText="1"/>
    </xf>
    <xf numFmtId="0" fontId="12" fillId="2" borderId="0" xfId="1" applyFont="1" applyFill="1" applyProtection="1"/>
    <xf numFmtId="0" fontId="13" fillId="2" borderId="0" xfId="3" applyFont="1" applyFill="1" applyBorder="1" applyAlignment="1" applyProtection="1">
      <alignment horizontal="left" vertical="center" wrapText="1"/>
    </xf>
    <xf numFmtId="0" fontId="13" fillId="2" borderId="0" xfId="3" applyFont="1" applyFill="1" applyBorder="1" applyAlignment="1" applyProtection="1">
      <alignment horizontal="center" vertical="center"/>
    </xf>
    <xf numFmtId="0" fontId="12" fillId="2" borderId="0" xfId="3" applyFont="1" applyFill="1" applyBorder="1" applyAlignment="1" applyProtection="1">
      <alignment horizontal="center" vertical="center"/>
    </xf>
    <xf numFmtId="0" fontId="23" fillId="2" borderId="0" xfId="0" applyFont="1" applyFill="1"/>
    <xf numFmtId="0" fontId="24" fillId="2" borderId="0" xfId="0" applyFont="1" applyFill="1"/>
    <xf numFmtId="0" fontId="25" fillId="2" borderId="0" xfId="1" applyFont="1" applyFill="1" applyAlignment="1" applyProtection="1">
      <alignment wrapText="1"/>
    </xf>
    <xf numFmtId="0" fontId="26" fillId="2" borderId="0" xfId="1" applyFont="1" applyFill="1" applyProtection="1"/>
    <xf numFmtId="0" fontId="28" fillId="2" borderId="39" xfId="6" applyFont="1" applyFill="1" applyBorder="1" applyAlignment="1" applyProtection="1">
      <alignment horizontal="center" vertical="center" wrapText="1"/>
    </xf>
    <xf numFmtId="0" fontId="1" fillId="0" borderId="0" xfId="10"/>
    <xf numFmtId="0" fontId="1" fillId="0" borderId="42" xfId="10" applyBorder="1"/>
    <xf numFmtId="0" fontId="1" fillId="0" borderId="42" xfId="10" applyBorder="1" applyAlignment="1">
      <alignment horizontal="center" vertical="center"/>
    </xf>
    <xf numFmtId="0" fontId="1" fillId="4" borderId="42" xfId="10" applyFill="1" applyBorder="1" applyAlignment="1">
      <alignment horizontal="center" vertical="center"/>
    </xf>
    <xf numFmtId="0" fontId="1" fillId="0" borderId="0" xfId="10" applyBorder="1"/>
    <xf numFmtId="0" fontId="1" fillId="0" borderId="0" xfId="10" applyBorder="1" applyAlignment="1">
      <alignment horizontal="center" vertical="center"/>
    </xf>
    <xf numFmtId="0" fontId="1" fillId="0" borderId="0" xfId="10" applyBorder="1" applyAlignment="1">
      <alignment horizontal="center" vertical="center" wrapText="1"/>
    </xf>
    <xf numFmtId="0" fontId="1" fillId="0" borderId="42" xfId="10" applyBorder="1" applyAlignment="1">
      <alignment horizontal="center" vertical="center" wrapText="1"/>
    </xf>
    <xf numFmtId="0" fontId="1" fillId="0" borderId="42" xfId="10" applyFill="1" applyBorder="1" applyAlignment="1">
      <alignment horizontal="center" vertical="center"/>
    </xf>
    <xf numFmtId="3" fontId="1" fillId="0" borderId="42" xfId="10" applyNumberFormat="1" applyBorder="1" applyAlignment="1">
      <alignment horizontal="center" vertical="center"/>
    </xf>
    <xf numFmtId="0" fontId="1" fillId="0" borderId="42" xfId="10" applyBorder="1" applyAlignment="1">
      <alignment horizontal="center"/>
    </xf>
    <xf numFmtId="166" fontId="1" fillId="0" borderId="42" xfId="10" applyNumberFormat="1" applyBorder="1" applyAlignment="1">
      <alignment horizontal="center"/>
    </xf>
    <xf numFmtId="166" fontId="1" fillId="0" borderId="42" xfId="10" applyNumberFormat="1" applyBorder="1"/>
    <xf numFmtId="2" fontId="29" fillId="4" borderId="42" xfId="10" applyNumberFormat="1" applyFont="1" applyFill="1" applyBorder="1"/>
    <xf numFmtId="167" fontId="29" fillId="0" borderId="42" xfId="10" applyNumberFormat="1" applyFont="1" applyBorder="1" applyAlignment="1">
      <alignment horizontal="center" vertical="center"/>
    </xf>
    <xf numFmtId="168" fontId="29" fillId="0" borderId="42" xfId="10" applyNumberFormat="1" applyFont="1" applyBorder="1" applyAlignment="1">
      <alignment horizontal="center" vertical="center"/>
    </xf>
    <xf numFmtId="2" fontId="1" fillId="0" borderId="0" xfId="10" applyNumberFormat="1"/>
    <xf numFmtId="0" fontId="0" fillId="0" borderId="0" xfId="0" applyAlignment="1">
      <alignment horizontal="right"/>
    </xf>
    <xf numFmtId="0" fontId="0" fillId="5" borderId="42" xfId="0" applyFill="1" applyBorder="1"/>
    <xf numFmtId="0" fontId="0" fillId="5" borderId="58" xfId="0" applyFill="1" applyBorder="1"/>
    <xf numFmtId="17" fontId="30" fillId="6" borderId="42" xfId="0" applyNumberFormat="1" applyFont="1" applyFill="1" applyBorder="1" applyAlignment="1" applyProtection="1">
      <alignment horizontal="center"/>
    </xf>
    <xf numFmtId="49" fontId="30" fillId="7" borderId="42" xfId="0" applyNumberFormat="1" applyFont="1" applyFill="1" applyBorder="1" applyAlignment="1" applyProtection="1">
      <alignment horizontal="center"/>
    </xf>
    <xf numFmtId="49" fontId="31" fillId="8" borderId="42" xfId="0" applyNumberFormat="1" applyFont="1" applyFill="1" applyBorder="1" applyProtection="1"/>
    <xf numFmtId="49" fontId="31" fillId="8" borderId="42" xfId="0" applyNumberFormat="1" applyFont="1" applyFill="1" applyBorder="1" applyAlignment="1" applyProtection="1">
      <alignment horizontal="center"/>
    </xf>
    <xf numFmtId="49" fontId="31" fillId="9" borderId="42" xfId="0" applyNumberFormat="1" applyFont="1" applyFill="1" applyBorder="1" applyAlignment="1" applyProtection="1">
      <alignment horizontal="center"/>
    </xf>
    <xf numFmtId="49" fontId="30" fillId="6" borderId="42" xfId="0" applyNumberFormat="1" applyFont="1" applyFill="1" applyBorder="1" applyAlignment="1" applyProtection="1">
      <alignment horizontal="center"/>
    </xf>
    <xf numFmtId="49" fontId="30" fillId="10" borderId="42" xfId="0" applyNumberFormat="1" applyFont="1" applyFill="1" applyBorder="1" applyAlignment="1" applyProtection="1">
      <alignment horizontal="center"/>
    </xf>
    <xf numFmtId="2" fontId="30" fillId="6" borderId="42" xfId="0" applyNumberFormat="1" applyFont="1" applyFill="1" applyBorder="1" applyAlignment="1" applyProtection="1">
      <alignment horizontal="center"/>
    </xf>
    <xf numFmtId="2" fontId="30" fillId="8" borderId="42" xfId="0" applyNumberFormat="1" applyFont="1" applyFill="1" applyBorder="1" applyAlignment="1" applyProtection="1">
      <alignment horizontal="center"/>
    </xf>
    <xf numFmtId="2" fontId="30" fillId="9" borderId="42" xfId="0" applyNumberFormat="1" applyFont="1" applyFill="1" applyBorder="1" applyAlignment="1" applyProtection="1">
      <alignment horizontal="center"/>
    </xf>
    <xf numFmtId="0" fontId="30" fillId="6" borderId="42" xfId="0" applyFont="1" applyFill="1" applyBorder="1" applyAlignment="1" applyProtection="1">
      <alignment horizontal="center"/>
    </xf>
    <xf numFmtId="0" fontId="0" fillId="0" borderId="42" xfId="0" applyBorder="1"/>
    <xf numFmtId="2" fontId="10" fillId="2" borderId="39" xfId="3" applyNumberFormat="1" applyFont="1" applyFill="1" applyBorder="1" applyAlignment="1" applyProtection="1">
      <alignment horizontal="center" vertical="center" wrapText="1"/>
    </xf>
    <xf numFmtId="0" fontId="32" fillId="2" borderId="0" xfId="12" applyFont="1" applyFill="1">
      <alignment horizontal="center" vertical="center"/>
      <protection locked="0"/>
    </xf>
    <xf numFmtId="0" fontId="32" fillId="2" borderId="0" xfId="20" applyFont="1" applyFill="1"/>
    <xf numFmtId="0" fontId="32" fillId="2" borderId="42" xfId="29" applyFont="1" applyFill="1" applyBorder="1">
      <alignment horizontal="left" vertical="center" wrapText="1"/>
    </xf>
    <xf numFmtId="4" fontId="32" fillId="2" borderId="42" xfId="31" applyFont="1" applyFill="1" applyBorder="1" applyAlignment="1">
      <alignment horizontal="center" vertical="center" wrapText="1"/>
    </xf>
    <xf numFmtId="0" fontId="39" fillId="2" borderId="1" xfId="36" applyFont="1" applyFill="1" applyBorder="1"/>
    <xf numFmtId="0" fontId="39" fillId="2" borderId="0" xfId="36" applyFont="1" applyFill="1" applyBorder="1"/>
    <xf numFmtId="169" fontId="32" fillId="2" borderId="42" xfId="37" applyFont="1" applyFill="1" applyBorder="1">
      <alignment horizontal="center" vertical="center" wrapText="1"/>
    </xf>
    <xf numFmtId="49" fontId="39" fillId="2" borderId="1" xfId="38" applyFont="1" applyFill="1" applyBorder="1"/>
    <xf numFmtId="49" fontId="39" fillId="2" borderId="0" xfId="38" applyFont="1" applyFill="1" applyBorder="1"/>
    <xf numFmtId="0" fontId="32" fillId="2" borderId="42" xfId="39" applyFont="1" applyFill="1" applyBorder="1">
      <alignment horizontal="left" vertical="center" wrapText="1" indent="1"/>
    </xf>
    <xf numFmtId="2" fontId="32" fillId="2" borderId="42" xfId="21" applyNumberFormat="1" applyFont="1" applyFill="1" applyBorder="1">
      <alignment horizontal="center" vertical="center" wrapText="1"/>
    </xf>
    <xf numFmtId="0" fontId="32" fillId="2" borderId="42" xfId="26" applyFont="1" applyFill="1" applyBorder="1" applyAlignment="1">
      <alignment horizontal="left" vertical="center" wrapText="1"/>
    </xf>
    <xf numFmtId="4" fontId="32" fillId="2" borderId="42" xfId="40" applyFont="1" applyFill="1" applyBorder="1" applyAlignment="1">
      <alignment horizontal="center" vertical="center" wrapText="1"/>
      <protection locked="0"/>
    </xf>
    <xf numFmtId="0" fontId="32" fillId="2" borderId="42" xfId="42" applyFont="1" applyFill="1" applyBorder="1">
      <alignment horizontal="center" vertical="center"/>
    </xf>
    <xf numFmtId="49" fontId="32" fillId="2" borderId="42" xfId="45" applyFont="1" applyFill="1" applyBorder="1">
      <alignment horizontal="center" vertical="center"/>
    </xf>
    <xf numFmtId="170" fontId="32" fillId="2" borderId="42" xfId="46" applyFont="1" applyFill="1" applyBorder="1">
      <alignment horizontal="center" vertical="center"/>
    </xf>
    <xf numFmtId="0" fontId="32" fillId="2" borderId="1" xfId="39" applyFont="1" applyFill="1" applyBorder="1">
      <alignment horizontal="left" vertical="center" wrapText="1" indent="1"/>
    </xf>
    <xf numFmtId="170" fontId="32" fillId="2" borderId="42" xfId="46" applyFont="1" applyFill="1" applyBorder="1" applyAlignment="1">
      <alignment horizontal="center" vertical="center" wrapText="1"/>
    </xf>
    <xf numFmtId="0" fontId="39" fillId="2" borderId="1" xfId="48" applyFont="1" applyFill="1" applyBorder="1"/>
    <xf numFmtId="0" fontId="39" fillId="2" borderId="0" xfId="48" applyFont="1" applyFill="1" applyBorder="1"/>
    <xf numFmtId="0" fontId="39" fillId="2" borderId="1" xfId="49" applyFont="1" applyFill="1" applyBorder="1">
      <alignment wrapText="1"/>
    </xf>
    <xf numFmtId="0" fontId="39" fillId="2" borderId="0" xfId="49" applyFont="1" applyFill="1" applyBorder="1">
      <alignment wrapText="1"/>
    </xf>
    <xf numFmtId="0" fontId="32" fillId="2" borderId="42" xfId="51" applyFont="1" applyFill="1" applyBorder="1">
      <alignment horizontal="left" vertical="center" wrapText="1"/>
    </xf>
    <xf numFmtId="49" fontId="32" fillId="2" borderId="42" xfId="11" applyNumberFormat="1" applyFont="1" applyFill="1" applyBorder="1">
      <alignment horizontal="center" vertical="center" wrapText="1"/>
    </xf>
    <xf numFmtId="0" fontId="32" fillId="2" borderId="1" xfId="11" applyFont="1" applyFill="1" applyBorder="1" applyAlignment="1">
      <alignment horizontal="left" vertical="center" wrapText="1"/>
    </xf>
    <xf numFmtId="0" fontId="32" fillId="2" borderId="42" xfId="11" applyFont="1" applyFill="1" applyBorder="1" applyAlignment="1">
      <alignment horizontal="left" vertical="center" wrapText="1"/>
    </xf>
    <xf numFmtId="0" fontId="42" fillId="0" borderId="0" xfId="0" applyFont="1"/>
    <xf numFmtId="0" fontId="42" fillId="0" borderId="0" xfId="0" applyFont="1" applyAlignment="1">
      <alignment horizontal="center"/>
    </xf>
    <xf numFmtId="0" fontId="42" fillId="0" borderId="42" xfId="0" applyFont="1" applyBorder="1" applyAlignment="1">
      <alignment horizontal="center" vertical="center"/>
    </xf>
    <xf numFmtId="0" fontId="42" fillId="0" borderId="42" xfId="0" applyFont="1" applyBorder="1" applyAlignment="1">
      <alignment horizontal="center" vertical="center" wrapText="1"/>
    </xf>
    <xf numFmtId="0" fontId="42" fillId="0" borderId="42" xfId="0" applyFont="1" applyBorder="1" applyAlignment="1">
      <alignment horizontal="center" wrapText="1"/>
    </xf>
    <xf numFmtId="0" fontId="43" fillId="0" borderId="42" xfId="0" applyFont="1" applyBorder="1" applyAlignment="1">
      <alignment horizontal="center" vertical="center"/>
    </xf>
    <xf numFmtId="0" fontId="45" fillId="0" borderId="50" xfId="0" applyFont="1" applyBorder="1" applyAlignment="1">
      <alignment horizontal="center" wrapText="1"/>
    </xf>
    <xf numFmtId="0" fontId="42" fillId="9" borderId="72" xfId="0" applyFont="1" applyFill="1" applyBorder="1" applyAlignment="1">
      <alignment horizontal="center"/>
    </xf>
    <xf numFmtId="0" fontId="42" fillId="9" borderId="48" xfId="0" applyFont="1" applyFill="1" applyBorder="1" applyAlignment="1">
      <alignment horizontal="center"/>
    </xf>
    <xf numFmtId="0" fontId="45" fillId="0" borderId="55" xfId="0" applyFont="1" applyBorder="1" applyAlignment="1">
      <alignment horizontal="center" vertical="top"/>
    </xf>
    <xf numFmtId="0" fontId="42" fillId="9" borderId="3" xfId="0" applyFont="1" applyFill="1" applyBorder="1" applyAlignment="1">
      <alignment horizontal="center" vertical="top"/>
    </xf>
    <xf numFmtId="0" fontId="42" fillId="9" borderId="42" xfId="0" applyFont="1" applyFill="1" applyBorder="1" applyAlignment="1">
      <alignment horizontal="center" vertical="top"/>
    </xf>
    <xf numFmtId="0" fontId="45" fillId="0" borderId="1" xfId="0" applyFont="1" applyBorder="1" applyAlignment="1">
      <alignment horizontal="center" wrapText="1"/>
    </xf>
    <xf numFmtId="0" fontId="42" fillId="9" borderId="42" xfId="0" applyFont="1" applyFill="1" applyBorder="1" applyAlignment="1">
      <alignment horizontal="center"/>
    </xf>
    <xf numFmtId="0" fontId="45" fillId="0" borderId="70" xfId="0" applyFont="1" applyBorder="1" applyAlignment="1">
      <alignment horizontal="center" vertical="top"/>
    </xf>
    <xf numFmtId="0" fontId="42" fillId="9" borderId="3" xfId="0" applyFont="1" applyFill="1" applyBorder="1" applyAlignment="1">
      <alignment horizontal="center"/>
    </xf>
    <xf numFmtId="0" fontId="45" fillId="0" borderId="50" xfId="0" applyFont="1" applyBorder="1" applyAlignment="1">
      <alignment horizontal="center" vertical="top" wrapText="1"/>
    </xf>
    <xf numFmtId="0" fontId="43" fillId="0" borderId="42" xfId="0" applyFont="1" applyBorder="1" applyAlignment="1">
      <alignment horizontal="center" vertical="center" wrapText="1"/>
    </xf>
    <xf numFmtId="0" fontId="42" fillId="9" borderId="56" xfId="0" applyFont="1" applyFill="1" applyBorder="1" applyAlignment="1">
      <alignment horizontal="center" vertical="top"/>
    </xf>
    <xf numFmtId="0" fontId="47" fillId="0" borderId="72" xfId="0" applyFont="1" applyBorder="1" applyAlignment="1">
      <alignment horizontal="center" vertical="center" wrapText="1"/>
    </xf>
    <xf numFmtId="0" fontId="45" fillId="0" borderId="50" xfId="0" applyFont="1" applyBorder="1" applyAlignment="1">
      <alignment horizontal="center" vertical="top"/>
    </xf>
    <xf numFmtId="0" fontId="42" fillId="9" borderId="42" xfId="0" applyFont="1" applyFill="1" applyBorder="1" applyAlignment="1">
      <alignment horizontal="center" vertical="center"/>
    </xf>
    <xf numFmtId="0" fontId="42" fillId="0" borderId="0" xfId="0" applyFont="1" applyAlignment="1">
      <alignment wrapText="1"/>
    </xf>
    <xf numFmtId="0" fontId="33" fillId="0" borderId="0" xfId="0" applyFont="1" applyAlignment="1">
      <alignment horizontal="center"/>
    </xf>
    <xf numFmtId="0" fontId="33" fillId="0" borderId="0" xfId="0" applyFont="1"/>
    <xf numFmtId="164" fontId="35" fillId="0" borderId="0" xfId="0" applyNumberFormat="1" applyFont="1" applyAlignment="1">
      <alignment horizontal="center"/>
    </xf>
    <xf numFmtId="2" fontId="35" fillId="0" borderId="0" xfId="0" applyNumberFormat="1" applyFont="1" applyAlignment="1">
      <alignment horizontal="center"/>
    </xf>
    <xf numFmtId="2" fontId="33" fillId="0" borderId="0" xfId="0" applyNumberFormat="1" applyFont="1" applyAlignment="1">
      <alignment horizontal="center"/>
    </xf>
    <xf numFmtId="0" fontId="33" fillId="0" borderId="0" xfId="10" applyFont="1"/>
    <xf numFmtId="2" fontId="33" fillId="0" borderId="0" xfId="10" applyNumberFormat="1" applyFont="1"/>
    <xf numFmtId="0" fontId="42" fillId="0" borderId="0" xfId="10" applyFont="1"/>
    <xf numFmtId="0" fontId="42" fillId="0" borderId="0" xfId="10" applyFont="1" applyAlignment="1">
      <alignment horizontal="center"/>
    </xf>
    <xf numFmtId="2" fontId="42" fillId="0" borderId="0" xfId="10" applyNumberFormat="1" applyFont="1"/>
    <xf numFmtId="164" fontId="42" fillId="4" borderId="48" xfId="0" applyNumberFormat="1" applyFont="1" applyFill="1" applyBorder="1" applyAlignment="1">
      <alignment horizontal="center" vertical="center" wrapText="1"/>
    </xf>
    <xf numFmtId="164" fontId="42" fillId="4" borderId="56" xfId="0" applyNumberFormat="1" applyFont="1" applyFill="1" applyBorder="1" applyAlignment="1">
      <alignment horizontal="center" vertical="center" wrapText="1"/>
    </xf>
    <xf numFmtId="164" fontId="42" fillId="4" borderId="42" xfId="0" applyNumberFormat="1" applyFont="1" applyFill="1" applyBorder="1" applyAlignment="1">
      <alignment horizontal="center" vertical="center" wrapText="1"/>
    </xf>
    <xf numFmtId="2" fontId="42" fillId="4" borderId="48" xfId="0" applyNumberFormat="1" applyFont="1" applyFill="1" applyBorder="1" applyAlignment="1">
      <alignment horizontal="center" vertical="center" wrapText="1"/>
    </xf>
    <xf numFmtId="2" fontId="42" fillId="4" borderId="56" xfId="0" applyNumberFormat="1" applyFont="1" applyFill="1" applyBorder="1" applyAlignment="1">
      <alignment horizontal="center" vertical="center" wrapText="1"/>
    </xf>
    <xf numFmtId="0" fontId="42" fillId="4" borderId="42" xfId="0" applyFont="1" applyFill="1" applyBorder="1" applyAlignment="1">
      <alignment horizontal="center" vertical="center" wrapText="1"/>
    </xf>
    <xf numFmtId="164" fontId="42" fillId="14" borderId="50" xfId="0" applyNumberFormat="1" applyFont="1" applyFill="1" applyBorder="1" applyAlignment="1">
      <alignment horizontal="center" vertical="center" wrapText="1"/>
    </xf>
    <xf numFmtId="164" fontId="42" fillId="14" borderId="55" xfId="0" applyNumberFormat="1" applyFont="1" applyFill="1" applyBorder="1" applyAlignment="1">
      <alignment horizontal="center" vertical="center" wrapText="1"/>
    </xf>
    <xf numFmtId="164" fontId="42" fillId="14" borderId="42" xfId="0" applyNumberFormat="1" applyFont="1" applyFill="1" applyBorder="1" applyAlignment="1">
      <alignment horizontal="center" vertical="center" wrapText="1"/>
    </xf>
    <xf numFmtId="0" fontId="30" fillId="2" borderId="11" xfId="3" applyFont="1" applyFill="1" applyBorder="1" applyAlignment="1" applyProtection="1">
      <alignment horizontal="center" vertical="center"/>
    </xf>
    <xf numFmtId="0" fontId="30" fillId="2" borderId="11" xfId="2" applyFont="1" applyFill="1" applyBorder="1" applyAlignment="1" applyProtection="1">
      <alignment horizontal="left" vertical="center" wrapText="1"/>
    </xf>
    <xf numFmtId="49" fontId="30" fillId="2" borderId="41" xfId="7" applyNumberFormat="1" applyFont="1" applyFill="1" applyBorder="1" applyAlignment="1" applyProtection="1">
      <alignment horizontal="center" vertical="center" wrapText="1"/>
    </xf>
    <xf numFmtId="0" fontId="30" fillId="2" borderId="41" xfId="2" applyFont="1" applyFill="1" applyBorder="1" applyAlignment="1" applyProtection="1">
      <alignment horizontal="left" vertical="center" wrapText="1"/>
    </xf>
    <xf numFmtId="49" fontId="49" fillId="2" borderId="41" xfId="7" applyNumberFormat="1" applyFont="1" applyFill="1" applyBorder="1" applyAlignment="1" applyProtection="1">
      <alignment horizontal="center" vertical="center" wrapText="1"/>
    </xf>
    <xf numFmtId="0" fontId="49" fillId="2" borderId="41" xfId="2" applyFont="1" applyFill="1" applyBorder="1" applyAlignment="1" applyProtection="1">
      <alignment horizontal="right" vertical="center" wrapText="1"/>
    </xf>
    <xf numFmtId="0" fontId="49" fillId="2" borderId="41" xfId="4" applyFont="1" applyFill="1" applyBorder="1" applyAlignment="1" applyProtection="1">
      <alignment horizontal="right" vertical="center" wrapText="1"/>
    </xf>
    <xf numFmtId="49" fontId="30" fillId="2" borderId="41" xfId="2" applyNumberFormat="1" applyFont="1" applyFill="1" applyBorder="1" applyAlignment="1" applyProtection="1">
      <alignment horizontal="left" vertical="center" wrapText="1"/>
    </xf>
    <xf numFmtId="49" fontId="49" fillId="2" borderId="45" xfId="7" applyNumberFormat="1" applyFont="1" applyFill="1" applyBorder="1" applyAlignment="1" applyProtection="1">
      <alignment horizontal="center" vertical="center" wrapText="1"/>
    </xf>
    <xf numFmtId="0" fontId="49" fillId="2" borderId="45" xfId="2" applyFont="1" applyFill="1" applyBorder="1" applyAlignment="1" applyProtection="1">
      <alignment horizontal="right" vertical="center" wrapText="1"/>
    </xf>
    <xf numFmtId="49" fontId="30" fillId="2" borderId="22" xfId="2" applyNumberFormat="1" applyFont="1" applyFill="1" applyBorder="1" applyAlignment="1" applyProtection="1">
      <alignment horizontal="center" vertical="center"/>
    </xf>
    <xf numFmtId="0" fontId="30" fillId="2" borderId="22" xfId="3" applyFont="1" applyFill="1" applyBorder="1" applyAlignment="1">
      <alignment vertical="center" wrapText="1"/>
    </xf>
    <xf numFmtId="49" fontId="49" fillId="2" borderId="41" xfId="2" applyNumberFormat="1" applyFont="1" applyFill="1" applyBorder="1" applyAlignment="1" applyProtection="1">
      <alignment horizontal="center" vertical="center"/>
    </xf>
    <xf numFmtId="0" fontId="49" fillId="2" borderId="41" xfId="3" applyFont="1" applyFill="1" applyBorder="1" applyAlignment="1">
      <alignment vertical="center" wrapText="1"/>
    </xf>
    <xf numFmtId="49" fontId="49" fillId="2" borderId="41" xfId="7" applyNumberFormat="1" applyFont="1" applyFill="1" applyBorder="1" applyAlignment="1" applyProtection="1">
      <alignment horizontal="right" vertical="center" wrapText="1"/>
    </xf>
    <xf numFmtId="49" fontId="30" fillId="2" borderId="41" xfId="2" applyNumberFormat="1" applyFont="1" applyFill="1" applyBorder="1" applyAlignment="1" applyProtection="1">
      <alignment horizontal="center" vertical="center"/>
    </xf>
    <xf numFmtId="0" fontId="30" fillId="2" borderId="41" xfId="3" applyFont="1" applyFill="1" applyBorder="1" applyAlignment="1">
      <alignment vertical="center" wrapText="1"/>
    </xf>
    <xf numFmtId="0" fontId="49" fillId="2" borderId="41" xfId="7" applyFont="1" applyFill="1" applyBorder="1" applyAlignment="1" applyProtection="1">
      <alignment horizontal="right" vertical="center" wrapText="1"/>
    </xf>
    <xf numFmtId="0" fontId="30" fillId="2" borderId="41" xfId="3" applyFont="1" applyFill="1" applyBorder="1" applyAlignment="1" applyProtection="1">
      <alignment horizontal="center" vertical="center"/>
    </xf>
    <xf numFmtId="0" fontId="30" fillId="2" borderId="41" xfId="0" applyFont="1" applyFill="1" applyBorder="1" applyAlignment="1">
      <alignment vertical="center" wrapText="1"/>
    </xf>
    <xf numFmtId="0" fontId="50" fillId="2" borderId="1" xfId="0" applyFont="1" applyFill="1" applyBorder="1" applyAlignment="1">
      <alignment vertical="center" wrapText="1"/>
    </xf>
    <xf numFmtId="0" fontId="30" fillId="2" borderId="41" xfId="3" applyFont="1" applyFill="1" applyBorder="1" applyAlignment="1" applyProtection="1">
      <alignment horizontal="left" vertical="center" wrapText="1"/>
    </xf>
    <xf numFmtId="0" fontId="51" fillId="0" borderId="0" xfId="0" applyFont="1"/>
    <xf numFmtId="0" fontId="49" fillId="2" borderId="26" xfId="2" applyFont="1" applyFill="1" applyBorder="1" applyAlignment="1" applyProtection="1">
      <alignment horizontal="center" vertical="center"/>
    </xf>
    <xf numFmtId="0" fontId="30" fillId="2" borderId="51" xfId="2" applyFont="1" applyFill="1" applyBorder="1" applyAlignment="1" applyProtection="1">
      <alignment horizontal="center" vertical="center"/>
    </xf>
    <xf numFmtId="0" fontId="49" fillId="2" borderId="51" xfId="2" applyFont="1" applyFill="1" applyBorder="1" applyAlignment="1" applyProtection="1">
      <alignment horizontal="center" vertical="center"/>
    </xf>
    <xf numFmtId="0" fontId="49" fillId="2" borderId="35" xfId="2" applyFont="1" applyFill="1" applyBorder="1" applyAlignment="1" applyProtection="1">
      <alignment horizontal="center" vertical="center"/>
    </xf>
    <xf numFmtId="9" fontId="30" fillId="2" borderId="26" xfId="9" applyFont="1" applyFill="1" applyBorder="1" applyAlignment="1" applyProtection="1">
      <alignment horizontal="center" vertical="center"/>
    </xf>
    <xf numFmtId="9" fontId="49" fillId="2" borderId="51" xfId="9" applyFont="1" applyFill="1" applyBorder="1" applyAlignment="1" applyProtection="1">
      <alignment horizontal="center" vertical="center"/>
    </xf>
    <xf numFmtId="0" fontId="49" fillId="2" borderId="51" xfId="3" applyFont="1" applyFill="1" applyBorder="1" applyAlignment="1" applyProtection="1">
      <alignment horizontal="center" vertical="center"/>
    </xf>
    <xf numFmtId="9" fontId="30" fillId="2" borderId="51" xfId="9" applyFont="1" applyFill="1" applyBorder="1" applyAlignment="1" applyProtection="1">
      <alignment horizontal="center" vertical="center"/>
    </xf>
    <xf numFmtId="0" fontId="49" fillId="2" borderId="51" xfId="2" applyFont="1" applyFill="1" applyBorder="1" applyAlignment="1" applyProtection="1">
      <alignment horizontal="center" vertical="center" wrapText="1"/>
    </xf>
    <xf numFmtId="9" fontId="50" fillId="2" borderId="51" xfId="9" applyFont="1" applyFill="1" applyBorder="1" applyAlignment="1" applyProtection="1">
      <alignment horizontal="center" vertical="center"/>
    </xf>
    <xf numFmtId="0" fontId="51" fillId="0" borderId="42" xfId="0" applyFont="1" applyBorder="1"/>
    <xf numFmtId="0" fontId="51" fillId="0" borderId="48" xfId="0" applyFont="1" applyBorder="1"/>
    <xf numFmtId="0" fontId="51" fillId="0" borderId="43" xfId="0" applyFont="1" applyBorder="1"/>
    <xf numFmtId="0" fontId="51" fillId="0" borderId="44" xfId="0" applyFont="1" applyBorder="1"/>
    <xf numFmtId="0" fontId="51" fillId="0" borderId="34" xfId="0" applyFont="1" applyBorder="1"/>
    <xf numFmtId="0" fontId="51" fillId="0" borderId="39" xfId="0" applyFont="1" applyBorder="1"/>
    <xf numFmtId="0" fontId="51" fillId="0" borderId="37" xfId="0" applyFont="1" applyBorder="1"/>
    <xf numFmtId="0" fontId="51" fillId="0" borderId="47" xfId="0" applyFont="1" applyBorder="1"/>
    <xf numFmtId="2" fontId="51" fillId="0" borderId="49" xfId="0" applyNumberFormat="1" applyFont="1" applyBorder="1" applyAlignment="1">
      <alignment horizontal="center" vertical="center"/>
    </xf>
    <xf numFmtId="2" fontId="51" fillId="0" borderId="42" xfId="0" applyNumberFormat="1" applyFont="1" applyBorder="1" applyAlignment="1">
      <alignment horizontal="center"/>
    </xf>
    <xf numFmtId="2" fontId="50" fillId="0" borderId="42" xfId="0" applyNumberFormat="1" applyFont="1" applyBorder="1" applyAlignment="1">
      <alignment horizontal="center"/>
    </xf>
    <xf numFmtId="2" fontId="50" fillId="0" borderId="43" xfId="0" applyNumberFormat="1" applyFont="1" applyBorder="1" applyAlignment="1">
      <alignment horizontal="center"/>
    </xf>
    <xf numFmtId="0" fontId="51" fillId="0" borderId="25" xfId="0" applyFont="1" applyBorder="1"/>
    <xf numFmtId="0" fontId="51" fillId="0" borderId="40" xfId="0" applyFont="1" applyBorder="1"/>
    <xf numFmtId="0" fontId="51" fillId="0" borderId="28" xfId="0" applyFont="1" applyBorder="1"/>
    <xf numFmtId="2" fontId="51" fillId="0" borderId="43" xfId="0" applyNumberFormat="1" applyFont="1" applyBorder="1" applyAlignment="1">
      <alignment horizontal="center"/>
    </xf>
    <xf numFmtId="2" fontId="51" fillId="0" borderId="44" xfId="0" applyNumberFormat="1" applyFont="1" applyBorder="1" applyAlignment="1">
      <alignment horizontal="center"/>
    </xf>
    <xf numFmtId="2" fontId="51" fillId="0" borderId="28" xfId="0" applyNumberFormat="1" applyFont="1" applyBorder="1" applyAlignment="1">
      <alignment horizontal="center" vertical="center"/>
    </xf>
    <xf numFmtId="2" fontId="51" fillId="0" borderId="42" xfId="0" applyNumberFormat="1" applyFont="1" applyBorder="1" applyAlignment="1">
      <alignment horizontal="center" vertical="center"/>
    </xf>
    <xf numFmtId="2" fontId="51" fillId="0" borderId="44" xfId="0" applyNumberFormat="1" applyFont="1" applyBorder="1" applyAlignment="1">
      <alignment horizontal="center" vertical="center"/>
    </xf>
    <xf numFmtId="2" fontId="51" fillId="0" borderId="37" xfId="0" applyNumberFormat="1" applyFont="1" applyBorder="1" applyAlignment="1">
      <alignment horizontal="center" vertical="center"/>
    </xf>
    <xf numFmtId="2" fontId="51" fillId="0" borderId="37" xfId="0" applyNumberFormat="1" applyFont="1" applyBorder="1" applyAlignment="1">
      <alignment horizontal="center"/>
    </xf>
    <xf numFmtId="2" fontId="51" fillId="0" borderId="43" xfId="0" applyNumberFormat="1" applyFont="1" applyBorder="1" applyAlignment="1">
      <alignment horizontal="center" vertical="center"/>
    </xf>
    <xf numFmtId="2" fontId="51" fillId="0" borderId="34" xfId="0" applyNumberFormat="1" applyFont="1" applyBorder="1" applyAlignment="1">
      <alignment horizontal="center" vertical="center"/>
    </xf>
    <xf numFmtId="2" fontId="51" fillId="0" borderId="39" xfId="0" applyNumberFormat="1" applyFont="1" applyBorder="1" applyAlignment="1">
      <alignment horizontal="center" vertical="center"/>
    </xf>
    <xf numFmtId="2" fontId="51" fillId="0" borderId="25" xfId="0" applyNumberFormat="1" applyFont="1" applyBorder="1" applyAlignment="1">
      <alignment horizontal="center" vertical="center"/>
    </xf>
    <xf numFmtId="2" fontId="51" fillId="0" borderId="40" xfId="0" applyNumberFormat="1" applyFont="1" applyBorder="1" applyAlignment="1">
      <alignment horizontal="center" vertical="center"/>
    </xf>
    <xf numFmtId="2" fontId="51" fillId="0" borderId="47" xfId="0" applyNumberFormat="1" applyFont="1" applyBorder="1" applyAlignment="1">
      <alignment horizontal="center" vertical="center"/>
    </xf>
    <xf numFmtId="2" fontId="51" fillId="0" borderId="48" xfId="0" applyNumberFormat="1" applyFont="1" applyBorder="1" applyAlignment="1">
      <alignment horizontal="center" vertical="center"/>
    </xf>
    <xf numFmtId="2" fontId="10" fillId="2" borderId="3" xfId="0" applyNumberFormat="1" applyFont="1" applyFill="1" applyBorder="1" applyAlignment="1" applyProtection="1">
      <alignment horizontal="center" vertical="center" wrapText="1"/>
    </xf>
    <xf numFmtId="2" fontId="12" fillId="2" borderId="53" xfId="8" applyNumberFormat="1" applyFont="1" applyFill="1" applyBorder="1" applyAlignment="1" applyProtection="1">
      <alignment horizontal="center" vertical="center" wrapText="1"/>
      <protection locked="0"/>
    </xf>
    <xf numFmtId="2" fontId="12" fillId="2" borderId="56" xfId="8" applyNumberFormat="1" applyFont="1" applyFill="1" applyBorder="1" applyAlignment="1" applyProtection="1">
      <alignment horizontal="center" vertical="center" wrapText="1"/>
      <protection locked="0"/>
    </xf>
    <xf numFmtId="2" fontId="12" fillId="2" borderId="57" xfId="8" applyNumberFormat="1" applyFont="1" applyFill="1" applyBorder="1" applyAlignment="1" applyProtection="1">
      <alignment horizontal="center" vertical="center" wrapText="1"/>
      <protection locked="0"/>
    </xf>
    <xf numFmtId="2" fontId="10" fillId="2" borderId="42" xfId="3" applyNumberFormat="1" applyFont="1" applyFill="1" applyBorder="1" applyAlignment="1" applyProtection="1">
      <alignment horizontal="center" vertical="center" wrapText="1"/>
    </xf>
    <xf numFmtId="2" fontId="10" fillId="2" borderId="40" xfId="0" applyNumberFormat="1" applyFont="1" applyFill="1" applyBorder="1" applyAlignment="1" applyProtection="1">
      <alignment horizontal="center" vertical="center" wrapText="1"/>
      <protection locked="0"/>
    </xf>
    <xf numFmtId="2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2" fontId="10" fillId="2" borderId="43" xfId="3" applyNumberFormat="1" applyFont="1" applyFill="1" applyBorder="1" applyAlignment="1" applyProtection="1">
      <alignment horizontal="center" vertical="center" wrapText="1"/>
    </xf>
    <xf numFmtId="2" fontId="12" fillId="2" borderId="43" xfId="0" applyNumberFormat="1" applyFont="1" applyFill="1" applyBorder="1" applyAlignment="1" applyProtection="1">
      <alignment horizontal="center" vertical="center" wrapText="1"/>
    </xf>
    <xf numFmtId="2" fontId="13" fillId="2" borderId="44" xfId="3" applyNumberFormat="1" applyFont="1" applyFill="1" applyBorder="1" applyAlignment="1" applyProtection="1">
      <alignment horizontal="center" vertical="center" wrapText="1"/>
      <protection locked="0"/>
    </xf>
    <xf numFmtId="2" fontId="10" fillId="2" borderId="43" xfId="0" applyNumberFormat="1" applyFont="1" applyFill="1" applyBorder="1" applyAlignment="1" applyProtection="1">
      <alignment horizontal="center" vertical="center" wrapText="1"/>
    </xf>
    <xf numFmtId="2" fontId="10" fillId="2" borderId="37" xfId="3" applyNumberFormat="1" applyFont="1" applyFill="1" applyBorder="1" applyAlignment="1" applyProtection="1">
      <alignment horizontal="center" vertical="center" wrapText="1"/>
    </xf>
    <xf numFmtId="0" fontId="18" fillId="2" borderId="30" xfId="3" applyFont="1" applyFill="1" applyBorder="1" applyAlignment="1" applyProtection="1">
      <alignment horizontal="left" vertical="center" wrapText="1"/>
    </xf>
    <xf numFmtId="49" fontId="18" fillId="2" borderId="75" xfId="7" applyNumberFormat="1" applyFont="1" applyFill="1" applyBorder="1" applyAlignment="1" applyProtection="1">
      <alignment horizontal="center" vertical="center" wrapText="1"/>
    </xf>
    <xf numFmtId="0" fontId="18" fillId="2" borderId="30" xfId="3" applyFont="1" applyFill="1" applyBorder="1" applyAlignment="1" applyProtection="1">
      <alignment horizontal="center" vertical="center"/>
    </xf>
    <xf numFmtId="2" fontId="12" fillId="2" borderId="0" xfId="8" applyNumberFormat="1" applyFont="1" applyFill="1" applyBorder="1" applyAlignment="1" applyProtection="1">
      <alignment horizontal="center" vertical="center" wrapText="1"/>
      <protection locked="0"/>
    </xf>
    <xf numFmtId="0" fontId="13" fillId="2" borderId="22" xfId="3" applyFont="1" applyFill="1" applyBorder="1" applyAlignment="1" applyProtection="1">
      <alignment horizontal="center" vertical="center"/>
    </xf>
    <xf numFmtId="10" fontId="10" fillId="2" borderId="40" xfId="9" applyNumberFormat="1" applyFont="1" applyFill="1" applyBorder="1" applyAlignment="1" applyProtection="1">
      <alignment horizontal="center" vertical="center"/>
    </xf>
    <xf numFmtId="10" fontId="10" fillId="2" borderId="28" xfId="9" applyNumberFormat="1" applyFont="1" applyFill="1" applyBorder="1" applyAlignment="1" applyProtection="1">
      <alignment horizontal="center" vertical="center"/>
    </xf>
    <xf numFmtId="2" fontId="10" fillId="2" borderId="39" xfId="9" applyNumberFormat="1" applyFont="1" applyFill="1" applyBorder="1" applyAlignment="1" applyProtection="1">
      <alignment horizontal="center" vertical="center"/>
    </xf>
    <xf numFmtId="10" fontId="10" fillId="2" borderId="39" xfId="9" applyNumberFormat="1" applyFont="1" applyFill="1" applyBorder="1" applyAlignment="1" applyProtection="1">
      <alignment horizontal="center" vertical="center"/>
    </xf>
    <xf numFmtId="0" fontId="13" fillId="2" borderId="4" xfId="3" applyFont="1" applyFill="1" applyBorder="1" applyAlignment="1" applyProtection="1">
      <alignment horizontal="center" vertical="center" wrapText="1"/>
    </xf>
    <xf numFmtId="0" fontId="12" fillId="2" borderId="75" xfId="3" applyFont="1" applyFill="1" applyBorder="1" applyAlignment="1" applyProtection="1">
      <alignment horizontal="center" vertical="center"/>
      <protection locked="0"/>
    </xf>
    <xf numFmtId="165" fontId="12" fillId="2" borderId="48" xfId="9" applyNumberFormat="1" applyFont="1" applyFill="1" applyBorder="1" applyAlignment="1" applyProtection="1">
      <alignment horizontal="center" vertical="center" wrapText="1"/>
      <protection locked="0"/>
    </xf>
    <xf numFmtId="10" fontId="12" fillId="2" borderId="48" xfId="9" applyNumberFormat="1" applyFont="1" applyFill="1" applyBorder="1" applyAlignment="1" applyProtection="1">
      <alignment horizontal="center" vertical="center" wrapText="1"/>
      <protection locked="0"/>
    </xf>
    <xf numFmtId="0" fontId="12" fillId="2" borderId="48" xfId="0" applyFont="1" applyFill="1" applyBorder="1" applyAlignment="1" applyProtection="1">
      <alignment horizontal="center" vertical="center"/>
      <protection locked="0"/>
    </xf>
    <xf numFmtId="10" fontId="12" fillId="2" borderId="48" xfId="9" applyNumberFormat="1" applyFont="1" applyFill="1" applyBorder="1" applyAlignment="1" applyProtection="1">
      <alignment horizontal="center" vertical="center"/>
      <protection locked="0"/>
    </xf>
    <xf numFmtId="10" fontId="12" fillId="2" borderId="49" xfId="9" applyNumberFormat="1" applyFont="1" applyFill="1" applyBorder="1" applyAlignment="1" applyProtection="1">
      <alignment horizontal="center" vertical="center"/>
    </xf>
    <xf numFmtId="2" fontId="10" fillId="2" borderId="2" xfId="3" applyNumberFormat="1" applyFont="1" applyFill="1" applyBorder="1" applyAlignment="1" applyProtection="1">
      <alignment horizontal="center" vertical="center" wrapText="1"/>
    </xf>
    <xf numFmtId="2" fontId="12" fillId="2" borderId="2" xfId="0" applyNumberFormat="1" applyFont="1" applyFill="1" applyBorder="1" applyAlignment="1" applyProtection="1">
      <alignment horizontal="center" vertical="center" wrapText="1"/>
    </xf>
    <xf numFmtId="2" fontId="10" fillId="2" borderId="2" xfId="8" applyNumberFormat="1" applyFont="1" applyFill="1" applyBorder="1" applyAlignment="1" applyProtection="1">
      <alignment horizontal="center" vertical="center" wrapText="1"/>
      <protection locked="0"/>
    </xf>
    <xf numFmtId="2" fontId="10" fillId="2" borderId="46" xfId="8" applyNumberFormat="1" applyFont="1" applyFill="1" applyBorder="1" applyAlignment="1" applyProtection="1">
      <alignment horizontal="center" vertical="center" wrapText="1"/>
      <protection locked="0"/>
    </xf>
    <xf numFmtId="2" fontId="10" fillId="2" borderId="24" xfId="0" applyNumberFormat="1" applyFont="1" applyFill="1" applyBorder="1" applyAlignment="1" applyProtection="1">
      <alignment horizontal="center" vertical="center" wrapText="1"/>
      <protection locked="0"/>
    </xf>
    <xf numFmtId="2" fontId="12" fillId="2" borderId="3" xfId="0" applyNumberFormat="1" applyFont="1" applyFill="1" applyBorder="1" applyAlignment="1" applyProtection="1">
      <alignment horizontal="center" vertical="center" wrapText="1"/>
      <protection locked="0"/>
    </xf>
    <xf numFmtId="10" fontId="12" fillId="2" borderId="3" xfId="9" applyNumberFormat="1" applyFont="1" applyFill="1" applyBorder="1" applyAlignment="1" applyProtection="1">
      <alignment horizontal="center" vertical="center" wrapText="1"/>
      <protection locked="0"/>
    </xf>
    <xf numFmtId="2" fontId="12" fillId="2" borderId="3" xfId="9" applyNumberFormat="1" applyFont="1" applyFill="1" applyBorder="1" applyAlignment="1" applyProtection="1">
      <alignment horizontal="center" vertical="center" wrapText="1"/>
      <protection locked="0"/>
    </xf>
    <xf numFmtId="2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2" fontId="10" fillId="2" borderId="3" xfId="3" applyNumberFormat="1" applyFont="1" applyFill="1" applyBorder="1" applyAlignment="1" applyProtection="1">
      <alignment horizontal="center" vertical="center" wrapText="1"/>
    </xf>
    <xf numFmtId="2" fontId="12" fillId="2" borderId="3" xfId="0" applyNumberFormat="1" applyFont="1" applyFill="1" applyBorder="1" applyAlignment="1" applyProtection="1">
      <alignment horizontal="center" vertical="center" wrapText="1"/>
    </xf>
    <xf numFmtId="2" fontId="10" fillId="2" borderId="3" xfId="3" applyNumberFormat="1" applyFont="1" applyFill="1" applyBorder="1" applyAlignment="1" applyProtection="1">
      <alignment horizontal="center" vertical="center" wrapText="1"/>
      <protection locked="0"/>
    </xf>
    <xf numFmtId="2" fontId="12" fillId="2" borderId="55" xfId="8" applyNumberFormat="1" applyFont="1" applyFill="1" applyBorder="1" applyAlignment="1" applyProtection="1">
      <alignment horizontal="center" vertical="center" wrapText="1"/>
      <protection locked="0"/>
    </xf>
    <xf numFmtId="2" fontId="10" fillId="2" borderId="48" xfId="9" applyNumberFormat="1" applyFont="1" applyFill="1" applyBorder="1" applyAlignment="1" applyProtection="1">
      <alignment horizontal="center" vertical="center"/>
    </xf>
    <xf numFmtId="10" fontId="10" fillId="2" borderId="48" xfId="9" applyNumberFormat="1" applyFont="1" applyFill="1" applyBorder="1" applyAlignment="1" applyProtection="1">
      <alignment horizontal="center" vertical="center"/>
    </xf>
    <xf numFmtId="2" fontId="10" fillId="2" borderId="25" xfId="8" applyNumberFormat="1" applyFont="1" applyFill="1" applyBorder="1" applyAlignment="1" applyProtection="1">
      <alignment horizontal="center" vertical="center" wrapText="1"/>
      <protection locked="0"/>
    </xf>
    <xf numFmtId="0" fontId="13" fillId="2" borderId="54" xfId="0" applyFont="1" applyFill="1" applyBorder="1" applyAlignment="1" applyProtection="1">
      <alignment horizontal="center" vertical="center"/>
    </xf>
    <xf numFmtId="0" fontId="12" fillId="2" borderId="30" xfId="3" applyFont="1" applyFill="1" applyBorder="1" applyAlignment="1" applyProtection="1">
      <alignment horizontal="center" vertical="center"/>
      <protection locked="0"/>
    </xf>
    <xf numFmtId="0" fontId="12" fillId="2" borderId="32" xfId="8" applyFont="1" applyFill="1" applyBorder="1" applyAlignment="1" applyProtection="1">
      <alignment horizontal="center" vertical="center" wrapText="1"/>
      <protection locked="0"/>
    </xf>
    <xf numFmtId="2" fontId="12" fillId="2" borderId="32" xfId="8" applyNumberFormat="1" applyFont="1" applyFill="1" applyBorder="1" applyAlignment="1" applyProtection="1">
      <alignment horizontal="center" vertical="center" wrapText="1"/>
      <protection locked="0"/>
    </xf>
    <xf numFmtId="0" fontId="12" fillId="2" borderId="40" xfId="3" applyFont="1" applyFill="1" applyBorder="1" applyAlignment="1" applyProtection="1">
      <alignment horizontal="center" vertical="center"/>
    </xf>
    <xf numFmtId="164" fontId="12" fillId="2" borderId="43" xfId="3" applyNumberFormat="1" applyFont="1" applyFill="1" applyBorder="1" applyAlignment="1" applyProtection="1">
      <alignment horizontal="center" vertical="center"/>
    </xf>
    <xf numFmtId="164" fontId="12" fillId="2" borderId="44" xfId="3" applyNumberFormat="1" applyFont="1" applyFill="1" applyBorder="1" applyAlignment="1" applyProtection="1">
      <alignment horizontal="center" vertical="center"/>
      <protection locked="0"/>
    </xf>
    <xf numFmtId="2" fontId="12" fillId="2" borderId="43" xfId="3" applyNumberFormat="1" applyFont="1" applyFill="1" applyBorder="1" applyAlignment="1" applyProtection="1">
      <alignment horizontal="center" vertical="center"/>
    </xf>
    <xf numFmtId="2" fontId="12" fillId="2" borderId="44" xfId="3" applyNumberFormat="1" applyFont="1" applyFill="1" applyBorder="1" applyAlignment="1" applyProtection="1">
      <alignment horizontal="center" vertical="center"/>
      <protection locked="0"/>
    </xf>
    <xf numFmtId="2" fontId="12" fillId="2" borderId="43" xfId="0" applyNumberFormat="1" applyFont="1" applyFill="1" applyBorder="1" applyAlignment="1" applyProtection="1">
      <alignment horizontal="center" vertical="center"/>
    </xf>
    <xf numFmtId="0" fontId="22" fillId="2" borderId="26" xfId="0" applyFont="1" applyFill="1" applyBorder="1" applyAlignment="1">
      <alignment vertical="center" wrapText="1"/>
    </xf>
    <xf numFmtId="0" fontId="22" fillId="2" borderId="35" xfId="0" applyFont="1" applyFill="1" applyBorder="1" applyAlignment="1">
      <alignment vertical="center" wrapText="1"/>
    </xf>
    <xf numFmtId="2" fontId="12" fillId="2" borderId="24" xfId="8" applyNumberFormat="1" applyFont="1" applyFill="1" applyBorder="1" applyAlignment="1" applyProtection="1">
      <alignment horizontal="center" vertical="center" wrapText="1"/>
      <protection locked="0"/>
    </xf>
    <xf numFmtId="0" fontId="22" fillId="2" borderId="11" xfId="0" applyFont="1" applyFill="1" applyBorder="1" applyAlignment="1">
      <alignment horizontal="center" vertical="center" wrapText="1"/>
    </xf>
    <xf numFmtId="0" fontId="22" fillId="2" borderId="45" xfId="0" applyFont="1" applyFill="1" applyBorder="1" applyAlignment="1">
      <alignment horizontal="center" vertical="center" wrapText="1"/>
    </xf>
    <xf numFmtId="0" fontId="12" fillId="2" borderId="47" xfId="3" applyFont="1" applyFill="1" applyBorder="1" applyAlignment="1" applyProtection="1">
      <alignment horizontal="center" vertical="center"/>
      <protection locked="0"/>
    </xf>
    <xf numFmtId="0" fontId="12" fillId="2" borderId="48" xfId="3" applyFont="1" applyFill="1" applyBorder="1" applyAlignment="1" applyProtection="1">
      <alignment horizontal="center" vertical="center"/>
      <protection locked="0"/>
    </xf>
    <xf numFmtId="2" fontId="12" fillId="2" borderId="48" xfId="3" applyNumberFormat="1" applyFont="1" applyFill="1" applyBorder="1" applyAlignment="1" applyProtection="1">
      <alignment horizontal="center" vertical="center"/>
      <protection locked="0"/>
    </xf>
    <xf numFmtId="2" fontId="12" fillId="2" borderId="49" xfId="3" applyNumberFormat="1" applyFont="1" applyFill="1" applyBorder="1" applyAlignment="1" applyProtection="1">
      <alignment horizontal="center" vertical="center"/>
    </xf>
    <xf numFmtId="2" fontId="12" fillId="2" borderId="42" xfId="9" applyNumberFormat="1" applyFont="1" applyFill="1" applyBorder="1" applyAlignment="1" applyProtection="1">
      <alignment horizontal="center" vertical="center"/>
      <protection locked="0"/>
    </xf>
    <xf numFmtId="0" fontId="12" fillId="2" borderId="42" xfId="9" applyNumberFormat="1" applyFont="1" applyFill="1" applyBorder="1" applyAlignment="1" applyProtection="1">
      <alignment horizontal="center" vertical="center"/>
      <protection locked="0"/>
    </xf>
    <xf numFmtId="0" fontId="54" fillId="2" borderId="1" xfId="0" applyFont="1" applyFill="1" applyBorder="1" applyAlignment="1">
      <alignment vertical="center" wrapText="1"/>
    </xf>
    <xf numFmtId="0" fontId="55" fillId="2" borderId="0" xfId="3" applyFont="1" applyFill="1" applyProtection="1"/>
    <xf numFmtId="14" fontId="12" fillId="2" borderId="34" xfId="0" applyNumberFormat="1" applyFont="1" applyFill="1" applyBorder="1" applyProtection="1"/>
    <xf numFmtId="0" fontId="21" fillId="16" borderId="0" xfId="3" applyFont="1" applyFill="1" applyProtection="1"/>
    <xf numFmtId="0" fontId="12" fillId="5" borderId="26" xfId="0" applyFont="1" applyFill="1" applyBorder="1"/>
    <xf numFmtId="0" fontId="10" fillId="15" borderId="33" xfId="0" applyFont="1" applyFill="1" applyBorder="1"/>
    <xf numFmtId="0" fontId="12" fillId="16" borderId="0" xfId="3" applyFont="1" applyFill="1" applyProtection="1"/>
    <xf numFmtId="0" fontId="4" fillId="16" borderId="0" xfId="1" applyFont="1" applyFill="1"/>
    <xf numFmtId="0" fontId="56" fillId="16" borderId="0" xfId="1" applyFont="1" applyFill="1"/>
    <xf numFmtId="0" fontId="5" fillId="16" borderId="0" xfId="0" applyFont="1" applyFill="1"/>
    <xf numFmtId="0" fontId="12" fillId="15" borderId="0" xfId="0" applyFont="1" applyFill="1"/>
    <xf numFmtId="0" fontId="28" fillId="4" borderId="0" xfId="0" applyFont="1" applyFill="1" applyAlignment="1">
      <alignment vertical="center" wrapText="1"/>
    </xf>
    <xf numFmtId="2" fontId="20" fillId="2" borderId="44" xfId="8" applyNumberFormat="1" applyFont="1" applyFill="1" applyBorder="1" applyAlignment="1" applyProtection="1">
      <alignment horizontal="center" vertical="center" wrapText="1"/>
      <protection locked="0"/>
    </xf>
    <xf numFmtId="4" fontId="32" fillId="2" borderId="42" xfId="47" applyFont="1" applyFill="1" applyBorder="1" applyAlignment="1">
      <alignment horizontal="center" vertical="center" wrapText="1"/>
    </xf>
    <xf numFmtId="2" fontId="10" fillId="2" borderId="42" xfId="8" applyNumberFormat="1" applyFont="1" applyFill="1" applyBorder="1" applyAlignment="1" applyProtection="1">
      <alignment horizontal="center" vertical="center" wrapText="1"/>
      <protection locked="0"/>
    </xf>
    <xf numFmtId="2" fontId="10" fillId="2" borderId="44" xfId="8" applyNumberFormat="1" applyFont="1" applyFill="1" applyBorder="1" applyAlignment="1" applyProtection="1">
      <alignment horizontal="center" vertical="center" wrapText="1"/>
      <protection locked="0"/>
    </xf>
    <xf numFmtId="2" fontId="10" fillId="2" borderId="3" xfId="8" applyNumberFormat="1" applyFont="1" applyFill="1" applyBorder="1" applyAlignment="1" applyProtection="1">
      <alignment horizontal="center" vertical="center" wrapText="1"/>
      <protection locked="0"/>
    </xf>
    <xf numFmtId="2" fontId="10" fillId="2" borderId="44" xfId="0" applyNumberFormat="1" applyFont="1" applyFill="1" applyBorder="1" applyAlignment="1" applyProtection="1">
      <alignment horizontal="center" vertical="center"/>
    </xf>
    <xf numFmtId="2" fontId="10" fillId="2" borderId="0" xfId="3" applyNumberFormat="1" applyFont="1" applyFill="1" applyProtection="1"/>
    <xf numFmtId="2" fontId="10" fillId="2" borderId="0" xfId="3" applyNumberFormat="1" applyFont="1" applyFill="1" applyBorder="1" applyProtection="1"/>
    <xf numFmtId="0" fontId="10" fillId="2" borderId="0" xfId="3" applyFont="1" applyFill="1" applyBorder="1" applyProtection="1"/>
    <xf numFmtId="9" fontId="54" fillId="2" borderId="41" xfId="9" applyFont="1" applyFill="1" applyBorder="1" applyAlignment="1" applyProtection="1">
      <alignment horizontal="center" vertical="center"/>
    </xf>
    <xf numFmtId="2" fontId="21" fillId="2" borderId="44" xfId="8" applyNumberFormat="1" applyFont="1" applyFill="1" applyBorder="1" applyAlignment="1" applyProtection="1">
      <alignment horizontal="center" vertical="center" wrapText="1"/>
      <protection locked="0"/>
    </xf>
    <xf numFmtId="0" fontId="57" fillId="4" borderId="0" xfId="0" applyFont="1" applyFill="1" applyAlignment="1">
      <alignment vertical="center" wrapText="1"/>
    </xf>
    <xf numFmtId="2" fontId="51" fillId="0" borderId="0" xfId="0" applyNumberFormat="1" applyFont="1"/>
    <xf numFmtId="2" fontId="12" fillId="2" borderId="0" xfId="0" applyNumberFormat="1" applyFont="1" applyFill="1" applyProtection="1"/>
    <xf numFmtId="0" fontId="4" fillId="5" borderId="0" xfId="1" applyFont="1" applyFill="1" applyProtection="1"/>
    <xf numFmtId="0" fontId="5" fillId="5" borderId="0" xfId="0" applyFont="1" applyFill="1"/>
    <xf numFmtId="0" fontId="12" fillId="5" borderId="0" xfId="3" applyFont="1" applyFill="1" applyProtection="1"/>
    <xf numFmtId="0" fontId="12" fillId="5" borderId="0" xfId="1" applyFont="1" applyFill="1" applyProtection="1"/>
    <xf numFmtId="0" fontId="23" fillId="5" borderId="0" xfId="0" applyFont="1" applyFill="1"/>
    <xf numFmtId="2" fontId="12" fillId="3" borderId="0" xfId="3" applyNumberFormat="1" applyFont="1" applyFill="1" applyProtection="1"/>
    <xf numFmtId="2" fontId="12" fillId="3" borderId="0" xfId="3" applyNumberFormat="1" applyFont="1" applyFill="1" applyBorder="1" applyProtection="1"/>
    <xf numFmtId="49" fontId="13" fillId="2" borderId="41" xfId="7" applyNumberFormat="1" applyFont="1" applyFill="1" applyBorder="1" applyAlignment="1" applyProtection="1">
      <alignment horizontal="center" vertical="center" wrapText="1"/>
    </xf>
    <xf numFmtId="49" fontId="13" fillId="2" borderId="41" xfId="2" applyNumberFormat="1" applyFont="1" applyFill="1" applyBorder="1" applyAlignment="1" applyProtection="1">
      <alignment horizontal="center" vertical="center"/>
    </xf>
    <xf numFmtId="0" fontId="58" fillId="0" borderId="10" xfId="0" applyFont="1" applyBorder="1" applyAlignment="1">
      <alignment horizontal="center" vertical="center" wrapText="1"/>
    </xf>
    <xf numFmtId="0" fontId="58" fillId="0" borderId="32" xfId="0" applyFont="1" applyBorder="1" applyAlignment="1">
      <alignment horizontal="center" vertical="center" wrapText="1"/>
    </xf>
    <xf numFmtId="2" fontId="58" fillId="0" borderId="10" xfId="0" applyNumberFormat="1" applyFont="1" applyBorder="1" applyAlignment="1">
      <alignment horizontal="center" vertical="center" wrapText="1"/>
    </xf>
    <xf numFmtId="0" fontId="58" fillId="0" borderId="32" xfId="0" applyFont="1" applyBorder="1" applyAlignment="1">
      <alignment horizontal="justify" vertical="center" wrapText="1"/>
    </xf>
    <xf numFmtId="2" fontId="58" fillId="5" borderId="10" xfId="0" applyNumberFormat="1" applyFont="1" applyFill="1" applyBorder="1" applyAlignment="1">
      <alignment horizontal="center" vertical="center" wrapText="1"/>
    </xf>
    <xf numFmtId="171" fontId="59" fillId="0" borderId="78" xfId="0" applyNumberFormat="1" applyFont="1" applyFill="1" applyBorder="1" applyAlignment="1">
      <alignment horizontal="right" vertical="top"/>
    </xf>
    <xf numFmtId="0" fontId="59" fillId="0" borderId="78" xfId="0" applyNumberFormat="1" applyFont="1" applyFill="1" applyBorder="1" applyAlignment="1">
      <alignment horizontal="left" vertical="top"/>
    </xf>
    <xf numFmtId="4" fontId="5" fillId="2" borderId="0" xfId="0" applyNumberFormat="1" applyFont="1" applyFill="1"/>
    <xf numFmtId="172" fontId="59" fillId="0" borderId="78" xfId="0" applyNumberFormat="1" applyFont="1" applyFill="1" applyBorder="1" applyAlignment="1">
      <alignment horizontal="right" vertical="top"/>
    </xf>
    <xf numFmtId="0" fontId="12" fillId="2" borderId="24" xfId="3" applyFont="1" applyFill="1" applyBorder="1" applyProtection="1"/>
    <xf numFmtId="2" fontId="10" fillId="2" borderId="3" xfId="3" applyNumberFormat="1" applyFont="1" applyFill="1" applyBorder="1" applyAlignment="1" applyProtection="1">
      <alignment horizontal="center" vertical="center"/>
      <protection locked="0"/>
    </xf>
    <xf numFmtId="2" fontId="10" fillId="2" borderId="3" xfId="3" applyNumberFormat="1" applyFont="1" applyFill="1" applyBorder="1" applyAlignment="1" applyProtection="1">
      <alignment horizontal="center" vertical="center"/>
    </xf>
    <xf numFmtId="2" fontId="20" fillId="2" borderId="3" xfId="0" applyNumberFormat="1" applyFont="1" applyFill="1" applyBorder="1" applyAlignment="1" applyProtection="1">
      <alignment horizontal="center" vertical="center" wrapText="1"/>
      <protection locked="0"/>
    </xf>
    <xf numFmtId="2" fontId="21" fillId="2" borderId="3" xfId="0" applyNumberFormat="1" applyFont="1" applyFill="1" applyBorder="1" applyAlignment="1" applyProtection="1">
      <alignment horizontal="center" vertical="center" wrapText="1"/>
      <protection locked="0"/>
    </xf>
    <xf numFmtId="2" fontId="10" fillId="2" borderId="52" xfId="3" applyNumberFormat="1" applyFont="1" applyFill="1" applyBorder="1" applyAlignment="1" applyProtection="1">
      <alignment horizontal="center" vertical="center" wrapText="1"/>
    </xf>
    <xf numFmtId="2" fontId="12" fillId="2" borderId="52" xfId="0" applyNumberFormat="1" applyFont="1" applyFill="1" applyBorder="1" applyAlignment="1" applyProtection="1">
      <alignment horizontal="center" vertical="center" wrapText="1"/>
    </xf>
    <xf numFmtId="2" fontId="12" fillId="2" borderId="52" xfId="0" applyNumberFormat="1" applyFont="1" applyFill="1" applyBorder="1" applyAlignment="1" applyProtection="1">
      <alignment horizontal="center" vertical="center" wrapText="1"/>
      <protection locked="0"/>
    </xf>
    <xf numFmtId="2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2" fontId="10" fillId="2" borderId="34" xfId="3" applyNumberFormat="1" applyFont="1" applyFill="1" applyBorder="1" applyAlignment="1" applyProtection="1">
      <alignment horizontal="center" vertical="center" wrapText="1"/>
    </xf>
    <xf numFmtId="2" fontId="10" fillId="2" borderId="33" xfId="3" applyNumberFormat="1" applyFont="1" applyFill="1" applyBorder="1" applyAlignment="1" applyProtection="1">
      <alignment horizontal="center" vertical="center" wrapText="1"/>
    </xf>
    <xf numFmtId="49" fontId="10" fillId="2" borderId="40" xfId="9" applyNumberFormat="1" applyFont="1" applyFill="1" applyBorder="1" applyAlignment="1" applyProtection="1">
      <alignment horizontal="center" vertical="center"/>
    </xf>
    <xf numFmtId="49" fontId="10" fillId="2" borderId="39" xfId="9" applyNumberFormat="1" applyFont="1" applyFill="1" applyBorder="1" applyAlignment="1" applyProtection="1">
      <alignment horizontal="center" vertical="center"/>
    </xf>
    <xf numFmtId="0" fontId="12" fillId="2" borderId="0" xfId="3" applyFont="1" applyFill="1" applyBorder="1" applyAlignment="1" applyProtection="1">
      <alignment vertical="center"/>
    </xf>
    <xf numFmtId="0" fontId="32" fillId="2" borderId="42" xfId="21" applyFont="1" applyFill="1" applyBorder="1">
      <alignment horizontal="center" vertical="center" wrapText="1"/>
    </xf>
    <xf numFmtId="0" fontId="32" fillId="2" borderId="42" xfId="24" applyFont="1" applyFill="1" applyBorder="1">
      <alignment horizontal="center" vertical="center" wrapText="1"/>
    </xf>
    <xf numFmtId="0" fontId="32" fillId="2" borderId="42" xfId="30" applyFont="1" applyFill="1" applyBorder="1">
      <alignment horizontal="center" vertical="center"/>
    </xf>
    <xf numFmtId="49" fontId="32" fillId="2" borderId="42" xfId="28" applyFont="1" applyFill="1" applyBorder="1">
      <alignment horizontal="center" vertical="center" wrapText="1"/>
    </xf>
    <xf numFmtId="0" fontId="32" fillId="2" borderId="0" xfId="11" applyFont="1" applyFill="1" applyBorder="1">
      <alignment horizontal="center" vertical="center" wrapText="1"/>
    </xf>
    <xf numFmtId="49" fontId="32" fillId="2" borderId="42" xfId="11" applyNumberFormat="1" applyFont="1" applyFill="1" applyBorder="1" applyAlignment="1">
      <alignment horizontal="left" vertical="center" wrapText="1"/>
    </xf>
    <xf numFmtId="0" fontId="32" fillId="2" borderId="0" xfId="3" applyFont="1" applyFill="1" applyAlignment="1">
      <alignment vertical="top"/>
    </xf>
    <xf numFmtId="0" fontId="33" fillId="2" borderId="0" xfId="3" applyFont="1" applyFill="1" applyAlignment="1">
      <alignment horizontal="left" vertical="top"/>
    </xf>
    <xf numFmtId="0" fontId="33" fillId="0" borderId="0" xfId="3" applyFont="1" applyAlignment="1">
      <alignment horizontal="left" vertical="center" indent="15"/>
    </xf>
    <xf numFmtId="0" fontId="32" fillId="2" borderId="0" xfId="3" applyFont="1" applyFill="1" applyAlignment="1">
      <alignment horizontal="left" vertical="top"/>
    </xf>
    <xf numFmtId="0" fontId="32" fillId="2" borderId="1" xfId="3" applyFont="1" applyFill="1" applyBorder="1" applyAlignment="1">
      <alignment vertical="top"/>
    </xf>
    <xf numFmtId="0" fontId="32" fillId="2" borderId="42" xfId="3" applyFont="1" applyFill="1" applyBorder="1" applyAlignment="1">
      <alignment horizontal="left" vertical="top" wrapText="1"/>
    </xf>
    <xf numFmtId="4" fontId="32" fillId="2" borderId="42" xfId="32" applyFont="1" applyFill="1" applyBorder="1" applyAlignment="1">
      <alignment horizontal="center" vertical="center" wrapText="1"/>
    </xf>
    <xf numFmtId="0" fontId="32" fillId="2" borderId="0" xfId="3" applyFont="1" applyFill="1"/>
    <xf numFmtId="0" fontId="32" fillId="2" borderId="42" xfId="3" applyFont="1" applyFill="1" applyBorder="1" applyAlignment="1">
      <alignment horizontal="center" vertical="top"/>
    </xf>
    <xf numFmtId="0" fontId="32" fillId="2" borderId="42" xfId="3" applyFont="1" applyFill="1" applyBorder="1" applyAlignment="1">
      <alignment horizontal="left" vertical="top"/>
    </xf>
    <xf numFmtId="2" fontId="32" fillId="2" borderId="42" xfId="3" applyNumberFormat="1" applyFont="1" applyFill="1" applyBorder="1" applyAlignment="1">
      <alignment horizontal="center" vertical="center" wrapText="1"/>
    </xf>
    <xf numFmtId="4" fontId="32" fillId="2" borderId="42" xfId="52" applyFont="1" applyFill="1" applyBorder="1" applyAlignment="1">
      <alignment horizontal="center" vertical="center" wrapText="1"/>
      <protection locked="0"/>
    </xf>
    <xf numFmtId="0" fontId="32" fillId="2" borderId="42" xfId="3" applyFont="1" applyFill="1" applyBorder="1" applyAlignment="1">
      <alignment horizontal="center" vertical="center" wrapText="1"/>
    </xf>
    <xf numFmtId="0" fontId="32" fillId="2" borderId="0" xfId="3" applyFont="1" applyFill="1" applyAlignment="1">
      <alignment horizontal="center" vertical="center" wrapText="1"/>
    </xf>
    <xf numFmtId="168" fontId="32" fillId="2" borderId="42" xfId="3" applyNumberFormat="1" applyFont="1" applyFill="1" applyBorder="1" applyAlignment="1">
      <alignment horizontal="center" vertical="center"/>
    </xf>
    <xf numFmtId="2" fontId="32" fillId="2" borderId="42" xfId="3" applyNumberFormat="1" applyFont="1" applyFill="1" applyBorder="1" applyAlignment="1">
      <alignment horizontal="center" vertical="center"/>
    </xf>
    <xf numFmtId="0" fontId="32" fillId="2" borderId="1" xfId="3" applyFont="1" applyFill="1" applyBorder="1" applyAlignment="1">
      <alignment horizontal="center" vertical="top" wrapText="1"/>
    </xf>
    <xf numFmtId="0" fontId="32" fillId="2" borderId="0" xfId="3" applyFont="1" applyFill="1" applyAlignment="1">
      <alignment horizontal="center" vertical="top" wrapText="1"/>
    </xf>
    <xf numFmtId="0" fontId="32" fillId="2" borderId="42" xfId="3" applyFont="1" applyFill="1" applyBorder="1" applyAlignment="1">
      <alignment vertical="top"/>
    </xf>
    <xf numFmtId="2" fontId="10" fillId="2" borderId="56" xfId="9" applyNumberFormat="1" applyFont="1" applyFill="1" applyBorder="1" applyAlignment="1" applyProtection="1">
      <alignment horizontal="center" vertical="center"/>
    </xf>
    <xf numFmtId="10" fontId="10" fillId="2" borderId="56" xfId="9" applyNumberFormat="1" applyFont="1" applyFill="1" applyBorder="1" applyAlignment="1" applyProtection="1">
      <alignment horizontal="center" vertical="center"/>
    </xf>
    <xf numFmtId="49" fontId="10" fillId="2" borderId="56" xfId="9" applyNumberFormat="1" applyFont="1" applyFill="1" applyBorder="1" applyAlignment="1" applyProtection="1">
      <alignment horizontal="center" vertical="center"/>
    </xf>
    <xf numFmtId="49" fontId="10" fillId="2" borderId="79" xfId="9" applyNumberFormat="1" applyFont="1" applyFill="1" applyBorder="1" applyAlignment="1" applyProtection="1">
      <alignment horizontal="center" vertical="center"/>
    </xf>
    <xf numFmtId="10" fontId="10" fillId="2" borderId="57" xfId="9" applyNumberFormat="1" applyFont="1" applyFill="1" applyBorder="1" applyAlignment="1" applyProtection="1">
      <alignment horizontal="center" vertical="center"/>
    </xf>
    <xf numFmtId="0" fontId="12" fillId="2" borderId="80" xfId="3" applyFont="1" applyFill="1" applyBorder="1" applyAlignment="1" applyProtection="1">
      <alignment horizontal="center" vertical="center"/>
    </xf>
    <xf numFmtId="2" fontId="10" fillId="2" borderId="53" xfId="9" applyNumberFormat="1" applyFont="1" applyFill="1" applyBorder="1" applyAlignment="1" applyProtection="1">
      <alignment horizontal="center" vertical="center"/>
    </xf>
    <xf numFmtId="0" fontId="18" fillId="2" borderId="8" xfId="3" applyFont="1" applyFill="1" applyBorder="1" applyAlignment="1" applyProtection="1">
      <alignment vertical="center" wrapText="1"/>
    </xf>
    <xf numFmtId="0" fontId="13" fillId="2" borderId="8" xfId="3" applyFont="1" applyFill="1" applyBorder="1" applyAlignment="1" applyProtection="1">
      <alignment horizontal="center" vertical="center"/>
    </xf>
    <xf numFmtId="0" fontId="12" fillId="2" borderId="38" xfId="3" applyFont="1" applyFill="1" applyBorder="1" applyAlignment="1" applyProtection="1">
      <alignment horizontal="center" vertical="center"/>
    </xf>
    <xf numFmtId="0" fontId="22" fillId="2" borderId="39" xfId="0" applyFont="1" applyFill="1" applyBorder="1" applyAlignment="1">
      <alignment vertical="center" wrapText="1"/>
    </xf>
    <xf numFmtId="0" fontId="22" fillId="2" borderId="39" xfId="0" applyFont="1" applyFill="1" applyBorder="1" applyAlignment="1">
      <alignment horizontal="center" vertical="center" wrapText="1"/>
    </xf>
    <xf numFmtId="2" fontId="12" fillId="2" borderId="39" xfId="8" applyNumberFormat="1" applyFont="1" applyFill="1" applyBorder="1" applyAlignment="1" applyProtection="1">
      <alignment horizontal="center" vertical="center" wrapText="1"/>
      <protection locked="0"/>
    </xf>
    <xf numFmtId="0" fontId="61" fillId="0" borderId="0" xfId="53" applyFont="1" applyAlignment="1">
      <alignment vertical="center"/>
    </xf>
    <xf numFmtId="0" fontId="61" fillId="0" borderId="0" xfId="53" applyFont="1" applyAlignment="1">
      <alignment horizontal="center" vertical="center"/>
    </xf>
    <xf numFmtId="0" fontId="61" fillId="0" borderId="0" xfId="53" applyFont="1" applyAlignment="1">
      <alignment vertical="center" wrapText="1"/>
    </xf>
    <xf numFmtId="0" fontId="62" fillId="0" borderId="0" xfId="54" applyFont="1" applyAlignment="1">
      <alignment vertical="center"/>
    </xf>
    <xf numFmtId="0" fontId="62" fillId="0" borderId="0" xfId="55" applyFont="1"/>
    <xf numFmtId="0" fontId="36" fillId="0" borderId="0" xfId="53" applyFont="1" applyAlignment="1">
      <alignment horizontal="left" vertical="center"/>
    </xf>
    <xf numFmtId="0" fontId="64" fillId="0" borderId="0" xfId="56" applyFont="1" applyAlignment="1">
      <alignment vertical="center"/>
    </xf>
    <xf numFmtId="49" fontId="65" fillId="0" borderId="82" xfId="53" quotePrefix="1" applyNumberFormat="1" applyFont="1" applyBorder="1" applyAlignment="1">
      <alignment horizontal="left" vertical="center" indent="1"/>
    </xf>
    <xf numFmtId="49" fontId="66" fillId="0" borderId="82" xfId="53" applyNumberFormat="1" applyFont="1" applyBorder="1" applyAlignment="1">
      <alignment vertical="center"/>
    </xf>
    <xf numFmtId="49" fontId="66" fillId="0" borderId="0" xfId="53" applyNumberFormat="1" applyFont="1" applyAlignment="1">
      <alignment horizontal="left" vertical="center" wrapText="1" indent="4"/>
    </xf>
    <xf numFmtId="0" fontId="61" fillId="0" borderId="78" xfId="53" applyFont="1" applyBorder="1" applyAlignment="1">
      <alignment horizontal="center" vertical="center" wrapText="1"/>
    </xf>
    <xf numFmtId="0" fontId="62" fillId="0" borderId="78" xfId="54" applyFont="1" applyBorder="1" applyAlignment="1">
      <alignment horizontal="center" vertical="center" wrapText="1"/>
    </xf>
    <xf numFmtId="0" fontId="62" fillId="0" borderId="61" xfId="54" applyFont="1" applyBorder="1" applyAlignment="1">
      <alignment horizontal="center" vertical="center" wrapText="1"/>
    </xf>
    <xf numFmtId="0" fontId="61" fillId="0" borderId="0" xfId="53" applyFont="1" applyAlignment="1">
      <alignment horizontal="center" vertical="center" wrapText="1"/>
    </xf>
    <xf numFmtId="0" fontId="62" fillId="0" borderId="62" xfId="54" applyFont="1" applyBorder="1" applyAlignment="1">
      <alignment horizontal="center" vertical="center" wrapText="1"/>
    </xf>
    <xf numFmtId="49" fontId="62" fillId="0" borderId="0" xfId="54" applyNumberFormat="1" applyFont="1" applyAlignment="1">
      <alignment vertical="center"/>
    </xf>
    <xf numFmtId="0" fontId="62" fillId="0" borderId="0" xfId="53" applyFont="1" applyAlignment="1">
      <alignment vertical="center"/>
    </xf>
    <xf numFmtId="0" fontId="62" fillId="0" borderId="0" xfId="54" applyFont="1"/>
    <xf numFmtId="0" fontId="38" fillId="17" borderId="83" xfId="0" applyNumberFormat="1" applyFont="1" applyFill="1" applyBorder="1" applyAlignment="1">
      <alignment horizontal="left" vertical="center"/>
    </xf>
    <xf numFmtId="0" fontId="38" fillId="17" borderId="0" xfId="0" applyNumberFormat="1" applyFont="1" applyFill="1" applyBorder="1" applyAlignment="1">
      <alignment horizontal="left" vertical="center"/>
    </xf>
    <xf numFmtId="0" fontId="62" fillId="0" borderId="0" xfId="54" applyFont="1" applyAlignment="1">
      <alignment horizontal="left" vertical="center"/>
    </xf>
    <xf numFmtId="0" fontId="66" fillId="0" borderId="0" xfId="53" applyFont="1" applyAlignment="1">
      <alignment vertical="center" wrapText="1"/>
    </xf>
    <xf numFmtId="0" fontId="61" fillId="0" borderId="0" xfId="53" applyFont="1" applyAlignment="1">
      <alignment horizontal="left" vertical="center" wrapText="1"/>
    </xf>
    <xf numFmtId="49" fontId="34" fillId="0" borderId="78" xfId="53" applyNumberFormat="1" applyFont="1" applyBorder="1" applyAlignment="1">
      <alignment horizontal="center" vertical="center" wrapText="1"/>
    </xf>
    <xf numFmtId="0" fontId="34" fillId="0" borderId="78" xfId="53" applyFont="1" applyBorder="1" applyAlignment="1">
      <alignment vertical="center" wrapText="1"/>
    </xf>
    <xf numFmtId="0" fontId="34" fillId="0" borderId="78" xfId="53" applyFont="1" applyBorder="1" applyAlignment="1">
      <alignment horizontal="center" vertical="center" wrapText="1"/>
    </xf>
    <xf numFmtId="4" fontId="65" fillId="18" borderId="78" xfId="53" applyNumberFormat="1" applyFont="1" applyFill="1" applyBorder="1" applyAlignment="1">
      <alignment horizontal="right" vertical="center"/>
    </xf>
    <xf numFmtId="4" fontId="65" fillId="19" borderId="78" xfId="53" applyNumberFormat="1" applyFont="1" applyFill="1" applyBorder="1" applyAlignment="1" applyProtection="1">
      <alignment horizontal="right" vertical="center"/>
      <protection locked="0"/>
    </xf>
    <xf numFmtId="49" fontId="62" fillId="19" borderId="61" xfId="54" applyNumberFormat="1" applyFont="1" applyFill="1" applyBorder="1" applyAlignment="1" applyProtection="1">
      <alignment horizontal="left" vertical="center" wrapText="1"/>
      <protection locked="0"/>
    </xf>
    <xf numFmtId="0" fontId="66" fillId="0" borderId="0" xfId="53" applyFont="1" applyAlignment="1">
      <alignment horizontal="center" vertical="center" wrapText="1"/>
    </xf>
    <xf numFmtId="0" fontId="61" fillId="0" borderId="0" xfId="53" applyFont="1" applyAlignment="1">
      <alignment horizontal="left" vertical="center"/>
    </xf>
    <xf numFmtId="49" fontId="62" fillId="0" borderId="78" xfId="53" applyNumberFormat="1" applyFont="1" applyBorder="1" applyAlignment="1">
      <alignment horizontal="center" vertical="center"/>
    </xf>
    <xf numFmtId="0" fontId="62" fillId="0" borderId="78" xfId="53" applyFont="1" applyBorder="1" applyAlignment="1">
      <alignment horizontal="left" vertical="center" wrapText="1" indent="1"/>
    </xf>
    <xf numFmtId="0" fontId="62" fillId="0" borderId="78" xfId="53" applyFont="1" applyBorder="1" applyAlignment="1">
      <alignment horizontal="center" vertical="center"/>
    </xf>
    <xf numFmtId="169" fontId="62" fillId="19" borderId="78" xfId="53" applyNumberFormat="1" applyFont="1" applyFill="1" applyBorder="1" applyAlignment="1" applyProtection="1">
      <alignment horizontal="right" vertical="center"/>
      <protection locked="0"/>
    </xf>
    <xf numFmtId="169" fontId="62" fillId="18" borderId="78" xfId="53" applyNumberFormat="1" applyFont="1" applyFill="1" applyBorder="1" applyAlignment="1">
      <alignment horizontal="right" vertical="center"/>
    </xf>
    <xf numFmtId="4" fontId="62" fillId="0" borderId="78" xfId="53" applyNumberFormat="1" applyFont="1" applyBorder="1" applyAlignment="1">
      <alignment horizontal="right" vertical="center"/>
    </xf>
    <xf numFmtId="0" fontId="34" fillId="0" borderId="78" xfId="53" applyFont="1" applyBorder="1" applyAlignment="1">
      <alignment horizontal="left" vertical="center" wrapText="1" indent="1"/>
    </xf>
    <xf numFmtId="4" fontId="65" fillId="0" borderId="78" xfId="53" applyNumberFormat="1" applyFont="1" applyBorder="1" applyAlignment="1">
      <alignment horizontal="right" vertical="center"/>
    </xf>
    <xf numFmtId="49" fontId="65" fillId="19" borderId="61" xfId="54" applyNumberFormat="1" applyFont="1" applyFill="1" applyBorder="1" applyAlignment="1" applyProtection="1">
      <alignment horizontal="left" vertical="center" wrapText="1"/>
      <protection locked="0"/>
    </xf>
    <xf numFmtId="0" fontId="62" fillId="0" borderId="78" xfId="53" applyFont="1" applyBorder="1" applyAlignment="1">
      <alignment horizontal="left" vertical="center" wrapText="1" indent="2"/>
    </xf>
    <xf numFmtId="0" fontId="62" fillId="0" borderId="78" xfId="53" applyFont="1" applyBorder="1" applyAlignment="1">
      <alignment horizontal="center" vertical="center" wrapText="1"/>
    </xf>
    <xf numFmtId="4" fontId="62" fillId="18" borderId="78" xfId="53" applyNumberFormat="1" applyFont="1" applyFill="1" applyBorder="1" applyAlignment="1">
      <alignment horizontal="right" vertical="center"/>
    </xf>
    <xf numFmtId="0" fontId="67" fillId="0" borderId="0" xfId="53" applyFont="1" applyAlignment="1">
      <alignment vertical="center"/>
    </xf>
    <xf numFmtId="0" fontId="0" fillId="0" borderId="78" xfId="53" applyFont="1" applyBorder="1" applyAlignment="1">
      <alignment horizontal="left" vertical="center" wrapText="1" indent="3"/>
    </xf>
    <xf numFmtId="0" fontId="0" fillId="0" borderId="78" xfId="53" applyFont="1" applyBorder="1" applyAlignment="1">
      <alignment horizontal="center" vertical="center" wrapText="1"/>
    </xf>
    <xf numFmtId="4" fontId="62" fillId="19" borderId="78" xfId="53" applyNumberFormat="1" applyFont="1" applyFill="1" applyBorder="1" applyAlignment="1" applyProtection="1">
      <alignment horizontal="right" vertical="center"/>
      <protection locked="0"/>
    </xf>
    <xf numFmtId="0" fontId="62" fillId="0" borderId="78" xfId="53" applyFont="1" applyBorder="1" applyAlignment="1">
      <alignment horizontal="left" vertical="center" wrapText="1" indent="3"/>
    </xf>
    <xf numFmtId="4" fontId="62" fillId="20" borderId="78" xfId="53" applyNumberFormat="1" applyFont="1" applyFill="1" applyBorder="1" applyAlignment="1">
      <alignment horizontal="right" vertical="center"/>
    </xf>
    <xf numFmtId="0" fontId="62" fillId="0" borderId="0" xfId="57" applyFont="1" applyAlignment="1">
      <alignment horizontal="left" vertical="center"/>
    </xf>
    <xf numFmtId="0" fontId="0" fillId="0" borderId="78" xfId="53" applyFont="1" applyBorder="1" applyAlignment="1">
      <alignment horizontal="left" vertical="center" wrapText="1" indent="2"/>
    </xf>
    <xf numFmtId="0" fontId="62" fillId="2" borderId="78" xfId="53" applyFont="1" applyFill="1" applyBorder="1" applyAlignment="1">
      <alignment horizontal="left" vertical="center" wrapText="1" indent="3"/>
    </xf>
    <xf numFmtId="0" fontId="66" fillId="0" borderId="0" xfId="53" applyFont="1" applyAlignment="1">
      <alignment vertical="center"/>
    </xf>
    <xf numFmtId="49" fontId="65" fillId="0" borderId="78" xfId="53" applyNumberFormat="1" applyFont="1" applyBorder="1" applyAlignment="1">
      <alignment horizontal="center" vertical="center"/>
    </xf>
    <xf numFmtId="0" fontId="65" fillId="0" borderId="78" xfId="53" applyFont="1" applyBorder="1" applyAlignment="1">
      <alignment horizontal="left" vertical="center" wrapText="1" indent="1"/>
    </xf>
    <xf numFmtId="0" fontId="65" fillId="0" borderId="78" xfId="53" applyFont="1" applyBorder="1" applyAlignment="1">
      <alignment horizontal="center" vertical="center"/>
    </xf>
    <xf numFmtId="4" fontId="65" fillId="20" borderId="78" xfId="53" applyNumberFormat="1" applyFont="1" applyFill="1" applyBorder="1" applyAlignment="1">
      <alignment horizontal="right" vertical="center"/>
    </xf>
    <xf numFmtId="0" fontId="60" fillId="0" borderId="0" xfId="58"/>
    <xf numFmtId="0" fontId="62" fillId="2" borderId="78" xfId="53" applyFont="1" applyFill="1" applyBorder="1" applyAlignment="1">
      <alignment horizontal="center" vertical="center"/>
    </xf>
    <xf numFmtId="49" fontId="62" fillId="0" borderId="61" xfId="54" applyNumberFormat="1" applyFont="1" applyBorder="1" applyAlignment="1">
      <alignment horizontal="left" vertical="center" wrapText="1"/>
    </xf>
    <xf numFmtId="0" fontId="54" fillId="0" borderId="0" xfId="53" applyFont="1" applyAlignment="1">
      <alignment vertical="center"/>
    </xf>
    <xf numFmtId="0" fontId="68" fillId="21" borderId="84" xfId="0" applyFont="1" applyFill="1" applyBorder="1" applyAlignment="1">
      <alignment horizontal="left" vertical="center" wrapText="1" indent="1"/>
    </xf>
    <xf numFmtId="0" fontId="68" fillId="21" borderId="85" xfId="0" applyFont="1" applyFill="1" applyBorder="1" applyAlignment="1">
      <alignment horizontal="left" vertical="center" wrapText="1" indent="2"/>
    </xf>
    <xf numFmtId="0" fontId="68" fillId="21" borderId="85" xfId="0" applyFont="1" applyFill="1" applyBorder="1" applyAlignment="1">
      <alignment horizontal="left" vertical="center" wrapText="1" indent="1"/>
    </xf>
    <xf numFmtId="0" fontId="68" fillId="21" borderId="86" xfId="0" applyFont="1" applyFill="1" applyBorder="1" applyAlignment="1">
      <alignment horizontal="left" vertical="center" wrapText="1" indent="1"/>
    </xf>
    <xf numFmtId="0" fontId="62" fillId="2" borderId="78" xfId="53" applyFont="1" applyFill="1" applyBorder="1" applyAlignment="1">
      <alignment horizontal="center" vertical="center" wrapText="1"/>
    </xf>
    <xf numFmtId="0" fontId="62" fillId="2" borderId="78" xfId="53" applyFont="1" applyFill="1" applyBorder="1" applyAlignment="1">
      <alignment horizontal="left" vertical="center" wrapText="1" indent="2"/>
    </xf>
    <xf numFmtId="0" fontId="62" fillId="2" borderId="78" xfId="53" applyFont="1" applyFill="1" applyBorder="1" applyAlignment="1">
      <alignment horizontal="left" vertical="center" wrapText="1" indent="1"/>
    </xf>
    <xf numFmtId="4" fontId="0" fillId="19" borderId="78" xfId="53" applyNumberFormat="1" applyFont="1" applyFill="1" applyBorder="1" applyAlignment="1" applyProtection="1">
      <alignment horizontal="right" vertical="center" wrapText="1"/>
      <protection locked="0"/>
    </xf>
    <xf numFmtId="0" fontId="36" fillId="0" borderId="78" xfId="53" applyFont="1" applyBorder="1" applyAlignment="1">
      <alignment horizontal="left" vertical="center" wrapText="1" indent="1"/>
    </xf>
    <xf numFmtId="0" fontId="65" fillId="0" borderId="78" xfId="53" applyFont="1" applyBorder="1" applyAlignment="1">
      <alignment vertical="center" wrapText="1"/>
    </xf>
    <xf numFmtId="0" fontId="62" fillId="0" borderId="78" xfId="53" applyFont="1" applyBorder="1" applyAlignment="1">
      <alignment horizontal="left" vertical="center" wrapText="1"/>
    </xf>
    <xf numFmtId="0" fontId="61" fillId="22" borderId="0" xfId="53" applyFont="1" applyFill="1" applyAlignment="1">
      <alignment vertical="center"/>
    </xf>
    <xf numFmtId="0" fontId="65" fillId="0" borderId="78" xfId="53" applyFont="1" applyBorder="1" applyAlignment="1">
      <alignment horizontal="left" vertical="center" wrapText="1"/>
    </xf>
    <xf numFmtId="0" fontId="0" fillId="0" borderId="78" xfId="53" applyFont="1" applyBorder="1" applyAlignment="1">
      <alignment horizontal="left" vertical="center" wrapText="1" indent="1"/>
    </xf>
    <xf numFmtId="0" fontId="0" fillId="2" borderId="78" xfId="53" applyFont="1" applyFill="1" applyBorder="1" applyAlignment="1">
      <alignment horizontal="left" vertical="center" wrapText="1" indent="2"/>
    </xf>
    <xf numFmtId="49" fontId="62" fillId="2" borderId="78" xfId="53" applyNumberFormat="1" applyFont="1" applyFill="1" applyBorder="1" applyAlignment="1">
      <alignment horizontal="center" vertical="center"/>
    </xf>
    <xf numFmtId="4" fontId="65" fillId="20" borderId="78" xfId="58" applyNumberFormat="1" applyFont="1" applyFill="1" applyBorder="1" applyAlignment="1">
      <alignment horizontal="right" vertical="center"/>
    </xf>
    <xf numFmtId="0" fontId="60" fillId="0" borderId="0" xfId="58" applyFont="1"/>
    <xf numFmtId="169" fontId="65" fillId="20" borderId="78" xfId="53" applyNumberFormat="1" applyFont="1" applyFill="1" applyBorder="1" applyAlignment="1">
      <alignment horizontal="right" vertical="center"/>
    </xf>
    <xf numFmtId="169" fontId="62" fillId="19" borderId="78" xfId="58" applyNumberFormat="1" applyFont="1" applyFill="1" applyBorder="1" applyAlignment="1" applyProtection="1">
      <alignment horizontal="right" vertical="center"/>
      <protection locked="0"/>
    </xf>
    <xf numFmtId="4" fontId="62" fillId="19" borderId="78" xfId="58" applyNumberFormat="1" applyFont="1" applyFill="1" applyBorder="1" applyAlignment="1" applyProtection="1">
      <alignment horizontal="right" vertical="center"/>
      <protection locked="0"/>
    </xf>
    <xf numFmtId="169" fontId="62" fillId="18" borderId="78" xfId="58" applyNumberFormat="1" applyFont="1" applyFill="1" applyBorder="1" applyAlignment="1">
      <alignment horizontal="right" vertical="center"/>
    </xf>
    <xf numFmtId="4" fontId="62" fillId="18" borderId="78" xfId="58" applyNumberFormat="1" applyFont="1" applyFill="1" applyBorder="1" applyAlignment="1">
      <alignment horizontal="right" vertical="center"/>
    </xf>
    <xf numFmtId="49" fontId="0" fillId="0" borderId="78" xfId="53" applyNumberFormat="1" applyFont="1" applyBorder="1" applyAlignment="1">
      <alignment horizontal="center" vertical="center"/>
    </xf>
    <xf numFmtId="0" fontId="0" fillId="0" borderId="78" xfId="53" applyFont="1" applyBorder="1" applyAlignment="1">
      <alignment horizontal="center" vertical="center"/>
    </xf>
    <xf numFmtId="0" fontId="69" fillId="0" borderId="0" xfId="0" applyFont="1" applyAlignment="1">
      <alignment horizontal="center" vertical="center" wrapText="1"/>
    </xf>
    <xf numFmtId="0" fontId="62" fillId="21" borderId="85" xfId="54" applyFont="1" applyFill="1" applyBorder="1" applyAlignment="1">
      <alignment vertical="center" wrapText="1"/>
    </xf>
    <xf numFmtId="0" fontId="62" fillId="21" borderId="86" xfId="54" applyFont="1" applyFill="1" applyBorder="1" applyAlignment="1">
      <alignment vertical="center" wrapText="1"/>
    </xf>
    <xf numFmtId="0" fontId="36" fillId="0" borderId="78" xfId="53" applyFont="1" applyBorder="1" applyAlignment="1">
      <alignment horizontal="center" vertical="center" wrapText="1"/>
    </xf>
    <xf numFmtId="49" fontId="36" fillId="19" borderId="78" xfId="53" applyNumberFormat="1" applyFont="1" applyFill="1" applyBorder="1" applyAlignment="1" applyProtection="1">
      <alignment horizontal="left" vertical="top" wrapText="1"/>
      <protection locked="0"/>
    </xf>
    <xf numFmtId="49" fontId="36" fillId="23" borderId="78" xfId="53" applyNumberFormat="1" applyFont="1" applyFill="1" applyBorder="1" applyAlignment="1">
      <alignment horizontal="left" vertical="top" wrapText="1"/>
    </xf>
    <xf numFmtId="0" fontId="68" fillId="21" borderId="84" xfId="0" applyFont="1" applyFill="1" applyBorder="1" applyAlignment="1">
      <alignment vertical="center"/>
    </xf>
    <xf numFmtId="0" fontId="68" fillId="21" borderId="85" xfId="0" applyFont="1" applyFill="1" applyBorder="1" applyAlignment="1">
      <alignment vertical="center"/>
    </xf>
    <xf numFmtId="0" fontId="64" fillId="6" borderId="78" xfId="53" applyFont="1" applyFill="1" applyBorder="1" applyAlignment="1">
      <alignment horizontal="center" vertical="center" wrapText="1"/>
    </xf>
    <xf numFmtId="0" fontId="61" fillId="0" borderId="78" xfId="53" applyFont="1" applyBorder="1" applyAlignment="1">
      <alignment horizontal="center" vertical="center" wrapText="1"/>
    </xf>
    <xf numFmtId="0" fontId="12" fillId="2" borderId="0" xfId="3" applyFont="1" applyFill="1" applyAlignment="1" applyProtection="1">
      <alignment horizontal="center"/>
    </xf>
    <xf numFmtId="49" fontId="13" fillId="2" borderId="41" xfId="7" applyNumberFormat="1" applyFont="1" applyFill="1" applyBorder="1" applyAlignment="1" applyProtection="1">
      <alignment horizontal="center" vertical="center" wrapText="1"/>
    </xf>
    <xf numFmtId="0" fontId="13" fillId="2" borderId="41" xfId="3" applyFont="1" applyFill="1" applyBorder="1" applyAlignment="1">
      <alignment horizontal="left" vertical="center" wrapText="1"/>
    </xf>
    <xf numFmtId="0" fontId="12" fillId="2" borderId="81" xfId="3" applyFont="1" applyFill="1" applyBorder="1" applyAlignment="1" applyProtection="1">
      <alignment horizontal="center" vertical="center"/>
    </xf>
    <xf numFmtId="0" fontId="12" fillId="2" borderId="9" xfId="3" applyFont="1" applyFill="1" applyBorder="1" applyAlignment="1" applyProtection="1">
      <alignment horizontal="center" vertical="center"/>
    </xf>
    <xf numFmtId="0" fontId="12" fillId="2" borderId="10" xfId="3" applyFont="1" applyFill="1" applyBorder="1" applyAlignment="1" applyProtection="1">
      <alignment horizontal="center" vertical="center"/>
    </xf>
    <xf numFmtId="0" fontId="12" fillId="2" borderId="0" xfId="3" applyFont="1" applyFill="1" applyBorder="1" applyAlignment="1">
      <alignment horizontal="center" vertical="center" wrapText="1"/>
    </xf>
    <xf numFmtId="0" fontId="15" fillId="2" borderId="16" xfId="6" applyFont="1" applyFill="1" applyBorder="1" applyAlignment="1" applyProtection="1">
      <alignment horizontal="center" vertical="center" wrapText="1"/>
    </xf>
    <xf numFmtId="0" fontId="15" fillId="2" borderId="38" xfId="6" applyFont="1" applyFill="1" applyBorder="1" applyAlignment="1" applyProtection="1">
      <alignment horizontal="center" vertical="center" wrapText="1"/>
    </xf>
    <xf numFmtId="0" fontId="15" fillId="2" borderId="27" xfId="6" applyFont="1" applyFill="1" applyBorder="1" applyAlignment="1" applyProtection="1">
      <alignment horizontal="center" vertical="center" wrapText="1"/>
    </xf>
    <xf numFmtId="0" fontId="15" fillId="2" borderId="12" xfId="6" applyFont="1" applyFill="1" applyBorder="1" applyAlignment="1" applyProtection="1">
      <alignment horizontal="center" vertical="center" wrapText="1"/>
    </xf>
    <xf numFmtId="0" fontId="15" fillId="2" borderId="29" xfId="6" applyFont="1" applyFill="1" applyBorder="1" applyAlignment="1" applyProtection="1">
      <alignment horizontal="center" vertical="center" wrapText="1"/>
    </xf>
    <xf numFmtId="0" fontId="12" fillId="2" borderId="26" xfId="0" applyFont="1" applyFill="1" applyBorder="1" applyAlignment="1" applyProtection="1">
      <alignment horizontal="center"/>
    </xf>
    <xf numFmtId="0" fontId="12" fillId="2" borderId="29" xfId="0" applyFont="1" applyFill="1" applyBorder="1" applyAlignment="1" applyProtection="1">
      <alignment horizontal="center"/>
    </xf>
    <xf numFmtId="49" fontId="13" fillId="2" borderId="41" xfId="2" applyNumberFormat="1" applyFont="1" applyFill="1" applyBorder="1" applyAlignment="1" applyProtection="1">
      <alignment horizontal="center" vertical="center"/>
    </xf>
    <xf numFmtId="0" fontId="15" fillId="2" borderId="28" xfId="2" applyFont="1" applyFill="1" applyBorder="1" applyAlignment="1" applyProtection="1">
      <alignment horizontal="center" vertical="center" wrapText="1"/>
    </xf>
    <xf numFmtId="0" fontId="15" fillId="2" borderId="37" xfId="2" applyFont="1" applyFill="1" applyBorder="1" applyAlignment="1" applyProtection="1">
      <alignment horizontal="center" vertical="center" wrapText="1"/>
    </xf>
    <xf numFmtId="0" fontId="15" fillId="2" borderId="5" xfId="2" applyFont="1" applyFill="1" applyBorder="1" applyAlignment="1" applyProtection="1">
      <alignment horizontal="center" vertical="center" wrapText="1"/>
    </xf>
    <xf numFmtId="0" fontId="15" fillId="2" borderId="8" xfId="2" applyFont="1" applyFill="1" applyBorder="1" applyAlignment="1" applyProtection="1">
      <alignment horizontal="center" vertical="center" wrapText="1"/>
    </xf>
    <xf numFmtId="0" fontId="15" fillId="2" borderId="27" xfId="2" applyFont="1" applyFill="1" applyBorder="1" applyAlignment="1" applyProtection="1">
      <alignment horizontal="center" vertical="center" wrapText="1"/>
    </xf>
    <xf numFmtId="0" fontId="15" fillId="2" borderId="36" xfId="2" applyFont="1" applyFill="1" applyBorder="1" applyAlignment="1" applyProtection="1">
      <alignment horizontal="center" vertical="center" wrapText="1"/>
    </xf>
    <xf numFmtId="0" fontId="10" fillId="2" borderId="5" xfId="2" applyFont="1" applyFill="1" applyBorder="1" applyAlignment="1" applyProtection="1">
      <alignment horizontal="center" vertical="center"/>
    </xf>
    <xf numFmtId="0" fontId="10" fillId="2" borderId="6" xfId="2" applyFont="1" applyFill="1" applyBorder="1" applyAlignment="1" applyProtection="1">
      <alignment horizontal="center" vertical="center"/>
    </xf>
    <xf numFmtId="0" fontId="10" fillId="2" borderId="7" xfId="2" applyFont="1" applyFill="1" applyBorder="1" applyAlignment="1" applyProtection="1">
      <alignment horizontal="center" vertical="center"/>
    </xf>
    <xf numFmtId="0" fontId="10" fillId="2" borderId="8" xfId="4" applyFont="1" applyFill="1" applyBorder="1" applyAlignment="1">
      <alignment horizontal="center" vertical="center"/>
    </xf>
    <xf numFmtId="0" fontId="10" fillId="2" borderId="9" xfId="4" applyFont="1" applyFill="1" applyBorder="1" applyAlignment="1">
      <alignment horizontal="center" vertical="center"/>
    </xf>
    <xf numFmtId="0" fontId="10" fillId="2" borderId="10" xfId="4" applyFont="1" applyFill="1" applyBorder="1" applyAlignment="1">
      <alignment horizontal="center" vertical="center"/>
    </xf>
    <xf numFmtId="0" fontId="15" fillId="2" borderId="11" xfId="5" applyFont="1" applyFill="1" applyBorder="1" applyAlignment="1" applyProtection="1">
      <alignment horizontal="center" vertical="center"/>
    </xf>
    <xf numFmtId="0" fontId="15" fillId="2" borderId="22" xfId="5" applyFont="1" applyFill="1" applyBorder="1" applyAlignment="1" applyProtection="1">
      <alignment horizontal="center" vertical="center"/>
    </xf>
    <xf numFmtId="0" fontId="15" fillId="2" borderId="30" xfId="5" applyFont="1" applyFill="1" applyBorder="1" applyAlignment="1" applyProtection="1">
      <alignment horizontal="center" vertical="center"/>
    </xf>
    <xf numFmtId="0" fontId="15" fillId="2" borderId="12" xfId="5" applyFont="1" applyFill="1" applyBorder="1" applyAlignment="1" applyProtection="1">
      <alignment horizontal="center" vertical="center" wrapText="1"/>
    </xf>
    <xf numFmtId="0" fontId="15" fillId="2" borderId="4" xfId="5" applyFont="1" applyFill="1" applyBorder="1" applyAlignment="1" applyProtection="1">
      <alignment horizontal="center" vertical="center" wrapText="1"/>
    </xf>
    <xf numFmtId="0" fontId="15" fillId="2" borderId="31" xfId="5" applyFont="1" applyFill="1" applyBorder="1" applyAlignment="1" applyProtection="1">
      <alignment horizontal="center" vertical="center" wrapText="1"/>
    </xf>
    <xf numFmtId="0" fontId="15" fillId="2" borderId="6" xfId="6" applyFont="1" applyFill="1" applyBorder="1" applyAlignment="1" applyProtection="1">
      <alignment horizontal="center" vertical="center" wrapText="1"/>
    </xf>
    <xf numFmtId="0" fontId="15" fillId="2" borderId="17" xfId="6" applyFont="1" applyFill="1" applyBorder="1" applyAlignment="1" applyProtection="1">
      <alignment horizontal="center" vertical="center" wrapText="1"/>
    </xf>
    <xf numFmtId="0" fontId="15" fillId="2" borderId="19" xfId="6" applyFont="1" applyFill="1" applyBorder="1" applyAlignment="1" applyProtection="1">
      <alignment horizontal="center" vertical="center" wrapText="1"/>
    </xf>
    <xf numFmtId="0" fontId="15" fillId="2" borderId="20" xfId="6" applyFont="1" applyFill="1" applyBorder="1" applyAlignment="1" applyProtection="1">
      <alignment horizontal="center" vertical="center" wrapText="1"/>
    </xf>
    <xf numFmtId="0" fontId="15" fillId="2" borderId="21" xfId="6" applyFont="1" applyFill="1" applyBorder="1" applyAlignment="1" applyProtection="1">
      <alignment horizontal="center" vertical="center" wrapText="1"/>
    </xf>
    <xf numFmtId="0" fontId="15" fillId="2" borderId="23" xfId="2" applyFont="1" applyFill="1" applyBorder="1" applyAlignment="1" applyProtection="1">
      <alignment horizontal="center" vertical="center" wrapText="1"/>
    </xf>
    <xf numFmtId="0" fontId="15" fillId="2" borderId="32" xfId="2" applyFont="1" applyFill="1" applyBorder="1" applyAlignment="1" applyProtection="1">
      <alignment horizontal="center" vertical="center" wrapText="1"/>
    </xf>
    <xf numFmtId="0" fontId="28" fillId="2" borderId="11" xfId="6" applyFont="1" applyFill="1" applyBorder="1" applyAlignment="1">
      <alignment horizontal="center" vertical="center" wrapText="1"/>
    </xf>
    <xf numFmtId="0" fontId="28" fillId="2" borderId="30" xfId="6" applyFont="1" applyFill="1" applyBorder="1" applyAlignment="1">
      <alignment horizontal="center" vertical="center" wrapText="1"/>
    </xf>
    <xf numFmtId="0" fontId="15" fillId="2" borderId="18" xfId="6" applyFont="1" applyFill="1" applyBorder="1" applyAlignment="1" applyProtection="1">
      <alignment horizontal="center" vertical="center" wrapText="1"/>
    </xf>
    <xf numFmtId="0" fontId="15" fillId="2" borderId="14" xfId="6" applyFont="1" applyFill="1" applyBorder="1" applyAlignment="1" applyProtection="1">
      <alignment horizontal="center" vertical="center" wrapText="1"/>
    </xf>
    <xf numFmtId="0" fontId="15" fillId="2" borderId="15" xfId="6" applyFont="1" applyFill="1" applyBorder="1" applyAlignment="1" applyProtection="1">
      <alignment horizontal="center" vertical="center" wrapText="1"/>
    </xf>
    <xf numFmtId="0" fontId="28" fillId="2" borderId="26" xfId="2" applyFont="1" applyFill="1" applyBorder="1" applyAlignment="1">
      <alignment horizontal="center" vertical="center" wrapText="1"/>
    </xf>
    <xf numFmtId="0" fontId="28" fillId="2" borderId="54" xfId="2" applyFont="1" applyFill="1" applyBorder="1" applyAlignment="1">
      <alignment horizontal="center" vertical="center" wrapText="1"/>
    </xf>
    <xf numFmtId="0" fontId="28" fillId="2" borderId="27" xfId="2" applyFont="1" applyFill="1" applyBorder="1" applyAlignment="1">
      <alignment horizontal="center" vertical="center" wrapText="1"/>
    </xf>
    <xf numFmtId="0" fontId="28" fillId="2" borderId="55" xfId="2" applyFont="1" applyFill="1" applyBorder="1" applyAlignment="1">
      <alignment horizontal="center" vertical="center" wrapText="1"/>
    </xf>
    <xf numFmtId="0" fontId="28" fillId="2" borderId="28" xfId="2" applyFont="1" applyFill="1" applyBorder="1" applyAlignment="1">
      <alignment horizontal="center" vertical="center" wrapText="1"/>
    </xf>
    <xf numFmtId="0" fontId="28" fillId="2" borderId="57" xfId="2" applyFont="1" applyFill="1" applyBorder="1" applyAlignment="1">
      <alignment horizontal="center" vertical="center" wrapText="1"/>
    </xf>
    <xf numFmtId="4" fontId="32" fillId="2" borderId="56" xfId="3" applyNumberFormat="1" applyFont="1" applyFill="1" applyBorder="1" applyAlignment="1">
      <alignment horizontal="center" vertical="top" wrapText="1"/>
    </xf>
    <xf numFmtId="0" fontId="32" fillId="2" borderId="48" xfId="3" applyFont="1" applyFill="1" applyBorder="1" applyAlignment="1">
      <alignment horizontal="center" vertical="top" wrapText="1"/>
    </xf>
    <xf numFmtId="0" fontId="33" fillId="0" borderId="0" xfId="3" applyFont="1" applyAlignment="1">
      <alignment horizontal="left" vertical="center" wrapText="1"/>
    </xf>
    <xf numFmtId="49" fontId="32" fillId="2" borderId="1" xfId="11" applyNumberFormat="1" applyFont="1" applyFill="1" applyBorder="1" applyAlignment="1">
      <alignment horizontal="left" vertical="center" wrapText="1"/>
    </xf>
    <xf numFmtId="49" fontId="32" fillId="2" borderId="2" xfId="11" applyNumberFormat="1" applyFont="1" applyFill="1" applyBorder="1" applyAlignment="1">
      <alignment horizontal="left" vertical="center" wrapText="1"/>
    </xf>
    <xf numFmtId="49" fontId="32" fillId="2" borderId="3" xfId="11" applyNumberFormat="1" applyFont="1" applyFill="1" applyBorder="1" applyAlignment="1">
      <alignment horizontal="left" vertical="center" wrapText="1"/>
    </xf>
    <xf numFmtId="0" fontId="41" fillId="0" borderId="56" xfId="3" applyFont="1" applyBorder="1" applyAlignment="1">
      <alignment horizontal="center" vertical="center" wrapText="1"/>
    </xf>
    <xf numFmtId="0" fontId="41" fillId="0" borderId="58" xfId="3" applyFont="1" applyBorder="1" applyAlignment="1">
      <alignment horizontal="center" vertical="center" wrapText="1"/>
    </xf>
    <xf numFmtId="0" fontId="41" fillId="0" borderId="48" xfId="3" applyFont="1" applyBorder="1" applyAlignment="1">
      <alignment horizontal="center" vertical="center" wrapText="1"/>
    </xf>
    <xf numFmtId="0" fontId="32" fillId="2" borderId="42" xfId="43" applyFont="1" applyFill="1" applyBorder="1">
      <alignment horizontal="left" vertical="center"/>
    </xf>
    <xf numFmtId="0" fontId="32" fillId="2" borderId="42" xfId="44" applyFont="1" applyFill="1" applyBorder="1">
      <alignment horizontal="left" vertical="center"/>
    </xf>
    <xf numFmtId="0" fontId="32" fillId="2" borderId="42" xfId="50" applyFont="1" applyFill="1" applyBorder="1">
      <alignment horizontal="left" vertical="center"/>
    </xf>
    <xf numFmtId="0" fontId="37" fillId="2" borderId="42" xfId="11" applyFont="1" applyFill="1" applyBorder="1">
      <alignment horizontal="center" vertical="center" wrapText="1"/>
    </xf>
    <xf numFmtId="0" fontId="32" fillId="2" borderId="55" xfId="3" applyFont="1" applyFill="1" applyBorder="1" applyAlignment="1">
      <alignment horizontal="center" vertical="center"/>
    </xf>
    <xf numFmtId="0" fontId="32" fillId="2" borderId="31" xfId="3" applyFont="1" applyFill="1" applyBorder="1" applyAlignment="1">
      <alignment horizontal="center" vertical="center"/>
    </xf>
    <xf numFmtId="0" fontId="32" fillId="2" borderId="69" xfId="3" applyFont="1" applyFill="1" applyBorder="1" applyAlignment="1">
      <alignment horizontal="center" vertical="center"/>
    </xf>
    <xf numFmtId="0" fontId="32" fillId="2" borderId="70" xfId="3" applyFont="1" applyFill="1" applyBorder="1" applyAlignment="1">
      <alignment horizontal="center" vertical="center"/>
    </xf>
    <xf numFmtId="0" fontId="32" fillId="2" borderId="0" xfId="3" applyFont="1" applyFill="1" applyAlignment="1">
      <alignment horizontal="center" vertical="center"/>
    </xf>
    <xf numFmtId="0" fontId="32" fillId="2" borderId="71" xfId="3" applyFont="1" applyFill="1" applyBorder="1" applyAlignment="1">
      <alignment horizontal="center" vertical="center"/>
    </xf>
    <xf numFmtId="0" fontId="32" fillId="2" borderId="50" xfId="3" applyFont="1" applyFill="1" applyBorder="1" applyAlignment="1">
      <alignment horizontal="center" vertical="center"/>
    </xf>
    <xf numFmtId="0" fontId="32" fillId="2" borderId="4" xfId="3" applyFont="1" applyFill="1" applyBorder="1" applyAlignment="1">
      <alignment horizontal="center" vertical="center"/>
    </xf>
    <xf numFmtId="0" fontId="32" fillId="2" borderId="72" xfId="3" applyFont="1" applyFill="1" applyBorder="1" applyAlignment="1">
      <alignment horizontal="center" vertical="center"/>
    </xf>
    <xf numFmtId="0" fontId="37" fillId="2" borderId="42" xfId="13" applyFont="1" applyFill="1" applyBorder="1" applyAlignment="1">
      <alignment horizontal="center" vertical="center" wrapText="1"/>
    </xf>
    <xf numFmtId="0" fontId="32" fillId="2" borderId="42" xfId="21" applyFont="1" applyFill="1" applyBorder="1">
      <alignment horizontal="center" vertical="center" wrapText="1"/>
    </xf>
    <xf numFmtId="0" fontId="32" fillId="2" borderId="42" xfId="22" applyFont="1" applyFill="1" applyBorder="1">
      <alignment horizontal="center" vertical="center" wrapText="1"/>
    </xf>
    <xf numFmtId="0" fontId="32" fillId="2" borderId="42" xfId="24" applyFont="1" applyFill="1" applyBorder="1">
      <alignment horizontal="center" vertical="center" wrapText="1"/>
    </xf>
    <xf numFmtId="0" fontId="32" fillId="2" borderId="42" xfId="25" applyFont="1" applyFill="1" applyBorder="1">
      <alignment horizontal="center" vertical="center" wrapText="1"/>
    </xf>
    <xf numFmtId="0" fontId="32" fillId="2" borderId="42" xfId="34" applyFont="1" applyFill="1" applyBorder="1">
      <alignment horizontal="center" vertical="center" wrapText="1"/>
    </xf>
    <xf numFmtId="0" fontId="32" fillId="2" borderId="42" xfId="3" applyFont="1" applyFill="1" applyBorder="1" applyAlignment="1">
      <alignment horizontal="center" vertical="top" wrapText="1"/>
    </xf>
    <xf numFmtId="0" fontId="32" fillId="2" borderId="42" xfId="3" applyFont="1" applyFill="1" applyBorder="1" applyAlignment="1">
      <alignment horizontal="left" vertical="top" wrapText="1"/>
    </xf>
    <xf numFmtId="0" fontId="32" fillId="2" borderId="42" xfId="3" applyFont="1" applyFill="1" applyBorder="1" applyAlignment="1">
      <alignment horizontal="center" vertical="top"/>
    </xf>
    <xf numFmtId="0" fontId="32" fillId="2" borderId="0" xfId="11" applyFont="1" applyFill="1" applyBorder="1">
      <alignment horizontal="center" vertical="center" wrapText="1"/>
    </xf>
    <xf numFmtId="49" fontId="32" fillId="2" borderId="42" xfId="3" applyNumberFormat="1" applyFont="1" applyFill="1" applyBorder="1" applyAlignment="1">
      <alignment horizontal="center" vertical="center" wrapText="1"/>
    </xf>
    <xf numFmtId="0" fontId="32" fillId="2" borderId="0" xfId="3" applyFont="1" applyFill="1" applyAlignment="1">
      <alignment horizontal="center" vertical="center" wrapText="1"/>
    </xf>
    <xf numFmtId="49" fontId="32" fillId="2" borderId="4" xfId="28" applyFont="1" applyFill="1" applyBorder="1" applyAlignment="1">
      <alignment horizontal="center" vertical="center" wrapText="1"/>
    </xf>
    <xf numFmtId="0" fontId="32" fillId="2" borderId="42" xfId="30" applyFont="1" applyFill="1" applyBorder="1">
      <alignment horizontal="center" vertical="center"/>
    </xf>
    <xf numFmtId="0" fontId="32" fillId="2" borderId="42" xfId="33" applyFont="1" applyFill="1" applyBorder="1">
      <alignment horizontal="center" vertical="center"/>
    </xf>
    <xf numFmtId="0" fontId="32" fillId="2" borderId="42" xfId="35" applyFont="1" applyFill="1" applyBorder="1">
      <alignment horizontal="center" vertical="center"/>
    </xf>
    <xf numFmtId="0" fontId="37" fillId="2" borderId="48" xfId="13" applyFont="1" applyFill="1" applyBorder="1">
      <alignment horizontal="center" vertical="center"/>
    </xf>
    <xf numFmtId="49" fontId="32" fillId="2" borderId="42" xfId="28" applyFont="1" applyFill="1" applyBorder="1">
      <alignment horizontal="center" vertical="center" wrapText="1"/>
    </xf>
    <xf numFmtId="0" fontId="32" fillId="2" borderId="42" xfId="26" applyFont="1" applyFill="1" applyBorder="1">
      <alignment horizontal="center" vertical="center" wrapText="1"/>
    </xf>
    <xf numFmtId="0" fontId="37" fillId="2" borderId="42" xfId="41" applyFont="1" applyFill="1" applyBorder="1" applyAlignment="1">
      <alignment horizontal="center" vertical="center"/>
    </xf>
    <xf numFmtId="0" fontId="37" fillId="2" borderId="42" xfId="13" applyFont="1" applyFill="1" applyBorder="1">
      <alignment horizontal="center" vertical="center"/>
    </xf>
    <xf numFmtId="0" fontId="37" fillId="2" borderId="42" xfId="14" applyFont="1" applyFill="1" applyBorder="1">
      <alignment horizontal="right" vertical="center" wrapText="1" indent="1"/>
    </xf>
    <xf numFmtId="0" fontId="37" fillId="2" borderId="42" xfId="15" applyFont="1" applyFill="1" applyBorder="1">
      <alignment horizontal="right" vertical="center" wrapText="1" indent="1"/>
    </xf>
    <xf numFmtId="0" fontId="32" fillId="2" borderId="42" xfId="16" applyFont="1" applyFill="1" applyBorder="1">
      <alignment horizontal="center" vertical="center" wrapText="1"/>
    </xf>
    <xf numFmtId="0" fontId="32" fillId="2" borderId="42" xfId="17" applyFont="1" applyFill="1" applyBorder="1">
      <alignment horizontal="right" vertical="center" wrapText="1" indent="1"/>
    </xf>
    <xf numFmtId="0" fontId="32" fillId="2" borderId="42" xfId="18" applyFont="1" applyFill="1" applyBorder="1">
      <alignment horizontal="right" vertical="center" wrapText="1" indent="1"/>
    </xf>
    <xf numFmtId="0" fontId="32" fillId="2" borderId="42" xfId="19" applyFont="1" applyFill="1" applyBorder="1">
      <alignment horizontal="center" vertical="center"/>
    </xf>
    <xf numFmtId="0" fontId="32" fillId="2" borderId="42" xfId="23" applyFont="1" applyFill="1" applyBorder="1">
      <alignment horizontal="center" vertical="center" wrapText="1"/>
    </xf>
    <xf numFmtId="0" fontId="32" fillId="2" borderId="42" xfId="27" applyFont="1" applyFill="1" applyBorder="1">
      <alignment horizontal="center" vertical="center" wrapText="1"/>
    </xf>
    <xf numFmtId="0" fontId="33" fillId="0" borderId="0" xfId="3" applyFont="1" applyAlignment="1">
      <alignment horizontal="left" vertical="top" wrapText="1"/>
    </xf>
    <xf numFmtId="0" fontId="35" fillId="2" borderId="0" xfId="11" applyFont="1" applyFill="1" applyBorder="1">
      <alignment horizontal="center" vertical="center" wrapText="1"/>
    </xf>
    <xf numFmtId="0" fontId="43" fillId="0" borderId="0" xfId="0" applyFont="1" applyAlignment="1">
      <alignment horizontal="center" wrapText="1"/>
    </xf>
    <xf numFmtId="0" fontId="44" fillId="0" borderId="0" xfId="0" applyFont="1" applyAlignment="1">
      <alignment horizontal="center" wrapText="1"/>
    </xf>
    <xf numFmtId="0" fontId="29" fillId="0" borderId="0" xfId="0" applyFont="1"/>
    <xf numFmtId="0" fontId="42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2" fillId="0" borderId="42" xfId="0" applyFont="1" applyBorder="1" applyAlignment="1">
      <alignment horizontal="center" vertical="center" wrapText="1"/>
    </xf>
    <xf numFmtId="0" fontId="42" fillId="0" borderId="42" xfId="0" applyFont="1" applyBorder="1" applyAlignment="1">
      <alignment wrapText="1"/>
    </xf>
    <xf numFmtId="0" fontId="43" fillId="0" borderId="42" xfId="0" applyFont="1" applyBorder="1" applyAlignment="1">
      <alignment horizontal="center" vertical="center" wrapText="1"/>
    </xf>
    <xf numFmtId="0" fontId="43" fillId="0" borderId="42" xfId="0" applyFont="1" applyBorder="1" applyAlignment="1">
      <alignment wrapText="1"/>
    </xf>
    <xf numFmtId="164" fontId="42" fillId="0" borderId="50" xfId="0" applyNumberFormat="1" applyFont="1" applyBorder="1" applyAlignment="1">
      <alignment horizontal="center" vertical="center" wrapText="1"/>
    </xf>
    <xf numFmtId="164" fontId="42" fillId="0" borderId="1" xfId="0" applyNumberFormat="1" applyFont="1" applyBorder="1" applyAlignment="1">
      <alignment horizontal="center" vertical="center" wrapText="1"/>
    </xf>
    <xf numFmtId="0" fontId="42" fillId="0" borderId="58" xfId="0" applyFont="1" applyBorder="1" applyAlignment="1">
      <alignment horizontal="center" vertical="center" wrapText="1"/>
    </xf>
    <xf numFmtId="0" fontId="42" fillId="0" borderId="48" xfId="0" applyFont="1" applyBorder="1" applyAlignment="1">
      <alignment horizontal="center" vertical="center" wrapText="1"/>
    </xf>
    <xf numFmtId="0" fontId="42" fillId="0" borderId="55" xfId="0" applyFont="1" applyBorder="1" applyAlignment="1">
      <alignment horizontal="center" vertical="center" wrapText="1"/>
    </xf>
    <xf numFmtId="0" fontId="45" fillId="0" borderId="69" xfId="0" applyFont="1" applyBorder="1" applyAlignment="1">
      <alignment vertical="center" wrapText="1"/>
    </xf>
    <xf numFmtId="0" fontId="45" fillId="0" borderId="71" xfId="0" applyFont="1" applyBorder="1" applyAlignment="1">
      <alignment vertical="center" wrapText="1"/>
    </xf>
    <xf numFmtId="164" fontId="42" fillId="0" borderId="42" xfId="0" applyNumberFormat="1" applyFont="1" applyBorder="1" applyAlignment="1">
      <alignment horizontal="center" vertical="center" wrapText="1"/>
    </xf>
    <xf numFmtId="0" fontId="42" fillId="0" borderId="56" xfId="0" applyFont="1" applyBorder="1" applyAlignment="1">
      <alignment horizontal="center" vertical="center" wrapText="1"/>
    </xf>
    <xf numFmtId="0" fontId="42" fillId="0" borderId="59" xfId="0" applyFont="1" applyBorder="1" applyAlignment="1">
      <alignment horizontal="center" vertical="center" wrapText="1"/>
    </xf>
    <xf numFmtId="0" fontId="42" fillId="0" borderId="50" xfId="0" applyFont="1" applyBorder="1" applyAlignment="1">
      <alignment horizontal="center" vertical="center" wrapText="1"/>
    </xf>
    <xf numFmtId="164" fontId="42" fillId="0" borderId="48" xfId="0" applyNumberFormat="1" applyFont="1" applyBorder="1" applyAlignment="1">
      <alignment horizontal="center" vertical="center" wrapText="1"/>
    </xf>
    <xf numFmtId="0" fontId="42" fillId="0" borderId="69" xfId="0" applyFont="1" applyBorder="1" applyAlignment="1">
      <alignment horizontal="center" vertical="center" wrapText="1"/>
    </xf>
    <xf numFmtId="0" fontId="42" fillId="0" borderId="72" xfId="0" applyFont="1" applyBorder="1" applyAlignment="1">
      <alignment horizontal="center" vertical="center" wrapText="1"/>
    </xf>
    <xf numFmtId="0" fontId="45" fillId="0" borderId="56" xfId="0" applyFont="1" applyBorder="1" applyAlignment="1">
      <alignment horizontal="center" vertical="top" wrapText="1"/>
    </xf>
    <xf numFmtId="0" fontId="42" fillId="0" borderId="71" xfId="0" applyFont="1" applyBorder="1" applyAlignment="1">
      <alignment horizontal="center" vertical="center" wrapText="1"/>
    </xf>
    <xf numFmtId="0" fontId="45" fillId="0" borderId="72" xfId="0" applyFont="1" applyBorder="1" applyAlignment="1">
      <alignment vertical="center" wrapText="1"/>
    </xf>
    <xf numFmtId="0" fontId="42" fillId="2" borderId="42" xfId="0" applyFont="1" applyFill="1" applyBorder="1" applyAlignment="1">
      <alignment horizontal="center" vertical="center" wrapText="1"/>
    </xf>
    <xf numFmtId="0" fontId="45" fillId="0" borderId="42" xfId="0" applyFont="1" applyBorder="1" applyAlignment="1">
      <alignment horizontal="center" wrapText="1"/>
    </xf>
    <xf numFmtId="0" fontId="45" fillId="0" borderId="42" xfId="0" applyFont="1" applyBorder="1" applyAlignment="1">
      <alignment horizontal="center" vertical="top" wrapText="1"/>
    </xf>
    <xf numFmtId="0" fontId="45" fillId="0" borderId="48" xfId="0" applyFont="1" applyBorder="1" applyAlignment="1">
      <alignment horizontal="center" wrapText="1"/>
    </xf>
    <xf numFmtId="0" fontId="45" fillId="0" borderId="69" xfId="0" applyFont="1" applyBorder="1" applyAlignment="1">
      <alignment horizontal="center" vertical="center" wrapText="1"/>
    </xf>
    <xf numFmtId="0" fontId="45" fillId="0" borderId="72" xfId="0" applyFont="1" applyBorder="1" applyAlignment="1">
      <alignment horizontal="center" vertical="center" wrapText="1"/>
    </xf>
    <xf numFmtId="0" fontId="43" fillId="0" borderId="50" xfId="0" applyFont="1" applyBorder="1" applyAlignment="1">
      <alignment horizontal="center" vertical="center" wrapText="1"/>
    </xf>
    <xf numFmtId="0" fontId="43" fillId="0" borderId="4" xfId="0" applyFont="1" applyBorder="1" applyAlignment="1">
      <alignment horizontal="center" vertical="center" wrapText="1"/>
    </xf>
    <xf numFmtId="0" fontId="43" fillId="0" borderId="72" xfId="0" applyFont="1" applyBorder="1" applyAlignment="1">
      <alignment horizontal="center" vertical="center" wrapText="1"/>
    </xf>
    <xf numFmtId="164" fontId="42" fillId="0" borderId="55" xfId="0" applyNumberFormat="1" applyFont="1" applyBorder="1" applyAlignment="1">
      <alignment horizontal="center" vertical="center" wrapText="1"/>
    </xf>
    <xf numFmtId="0" fontId="46" fillId="0" borderId="71" xfId="0" applyFont="1" applyBorder="1" applyAlignment="1">
      <alignment horizontal="center" vertical="center" wrapText="1"/>
    </xf>
    <xf numFmtId="0" fontId="46" fillId="0" borderId="72" xfId="0" applyFont="1" applyBorder="1" applyAlignment="1">
      <alignment horizontal="center" vertical="center" wrapText="1"/>
    </xf>
    <xf numFmtId="0" fontId="46" fillId="0" borderId="58" xfId="0" applyFont="1" applyBorder="1" applyAlignment="1">
      <alignment horizontal="center" vertical="center" wrapText="1"/>
    </xf>
    <xf numFmtId="164" fontId="42" fillId="0" borderId="56" xfId="0" applyNumberFormat="1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7" fillId="0" borderId="2" xfId="0" applyFont="1" applyBorder="1" applyAlignment="1">
      <alignment wrapText="1"/>
    </xf>
    <xf numFmtId="0" fontId="47" fillId="0" borderId="3" xfId="0" applyFont="1" applyBorder="1" applyAlignment="1">
      <alignment wrapText="1"/>
    </xf>
    <xf numFmtId="0" fontId="45" fillId="0" borderId="48" xfId="0" applyFont="1" applyBorder="1" applyAlignment="1">
      <alignment wrapText="1"/>
    </xf>
    <xf numFmtId="0" fontId="45" fillId="0" borderId="56" xfId="0" applyFont="1" applyBorder="1" applyAlignment="1">
      <alignment wrapText="1"/>
    </xf>
    <xf numFmtId="0" fontId="46" fillId="0" borderId="42" xfId="0" applyFont="1" applyBorder="1" applyAlignment="1">
      <alignment horizontal="center" vertical="center" wrapText="1"/>
    </xf>
    <xf numFmtId="0" fontId="0" fillId="0" borderId="48" xfId="0" applyBorder="1" applyAlignment="1">
      <alignment wrapText="1"/>
    </xf>
    <xf numFmtId="2" fontId="42" fillId="0" borderId="42" xfId="0" applyNumberFormat="1" applyFont="1" applyBorder="1" applyAlignment="1">
      <alignment horizontal="center" vertical="center" wrapText="1"/>
    </xf>
    <xf numFmtId="0" fontId="45" fillId="0" borderId="42" xfId="0" applyFont="1" applyBorder="1" applyAlignment="1">
      <alignment horizontal="center" vertical="top"/>
    </xf>
    <xf numFmtId="0" fontId="0" fillId="0" borderId="42" xfId="0" applyBorder="1"/>
    <xf numFmtId="0" fontId="42" fillId="0" borderId="1" xfId="0" applyFont="1" applyBorder="1" applyAlignment="1">
      <alignment horizontal="center" wrapText="1"/>
    </xf>
    <xf numFmtId="0" fontId="42" fillId="0" borderId="56" xfId="0" applyFont="1" applyBorder="1" applyAlignment="1">
      <alignment wrapText="1"/>
    </xf>
    <xf numFmtId="0" fontId="42" fillId="0" borderId="0" xfId="10" applyFont="1" applyAlignment="1">
      <alignment horizontal="center" wrapText="1"/>
    </xf>
    <xf numFmtId="0" fontId="35" fillId="0" borderId="0" xfId="0" applyFont="1" applyAlignment="1">
      <alignment wrapText="1"/>
    </xf>
    <xf numFmtId="0" fontId="0" fillId="0" borderId="0" xfId="0" applyAlignment="1">
      <alignment wrapText="1"/>
    </xf>
    <xf numFmtId="0" fontId="48" fillId="0" borderId="0" xfId="0" applyFont="1" applyAlignment="1">
      <alignment wrapText="1"/>
    </xf>
    <xf numFmtId="0" fontId="46" fillId="0" borderId="48" xfId="0" applyFont="1" applyBorder="1" applyAlignment="1">
      <alignment horizontal="center" vertical="center" wrapText="1"/>
    </xf>
    <xf numFmtId="49" fontId="49" fillId="2" borderId="41" xfId="7" applyNumberFormat="1" applyFont="1" applyFill="1" applyBorder="1" applyAlignment="1" applyProtection="1">
      <alignment horizontal="center" vertical="center" wrapText="1"/>
    </xf>
    <xf numFmtId="0" fontId="49" fillId="2" borderId="41" xfId="3" applyFont="1" applyFill="1" applyBorder="1" applyAlignment="1">
      <alignment horizontal="left" vertical="center" wrapText="1"/>
    </xf>
    <xf numFmtId="0" fontId="30" fillId="2" borderId="11" xfId="5" applyFont="1" applyFill="1" applyBorder="1" applyAlignment="1" applyProtection="1">
      <alignment horizontal="center" vertical="center"/>
    </xf>
    <xf numFmtId="0" fontId="30" fillId="2" borderId="22" xfId="5" applyFont="1" applyFill="1" applyBorder="1" applyAlignment="1" applyProtection="1">
      <alignment horizontal="center" vertical="center"/>
    </xf>
    <xf numFmtId="0" fontId="30" fillId="2" borderId="30" xfId="5" applyFont="1" applyFill="1" applyBorder="1" applyAlignment="1" applyProtection="1">
      <alignment horizontal="center" vertical="center"/>
    </xf>
    <xf numFmtId="0" fontId="30" fillId="2" borderId="12" xfId="5" applyFont="1" applyFill="1" applyBorder="1" applyAlignment="1" applyProtection="1">
      <alignment horizontal="center" vertical="center" wrapText="1"/>
    </xf>
    <xf numFmtId="0" fontId="30" fillId="2" borderId="4" xfId="5" applyFont="1" applyFill="1" applyBorder="1" applyAlignment="1" applyProtection="1">
      <alignment horizontal="center" vertical="center" wrapText="1"/>
    </xf>
    <xf numFmtId="0" fontId="30" fillId="2" borderId="31" xfId="5" applyFont="1" applyFill="1" applyBorder="1" applyAlignment="1" applyProtection="1">
      <alignment horizontal="center" vertical="center" wrapText="1"/>
    </xf>
    <xf numFmtId="0" fontId="30" fillId="2" borderId="26" xfId="5" applyFont="1" applyFill="1" applyBorder="1" applyAlignment="1" applyProtection="1">
      <alignment horizontal="center" vertical="center"/>
    </xf>
    <xf numFmtId="0" fontId="30" fillId="2" borderId="74" xfId="5" applyFont="1" applyFill="1" applyBorder="1" applyAlignment="1" applyProtection="1">
      <alignment horizontal="center" vertical="center"/>
    </xf>
    <xf numFmtId="0" fontId="30" fillId="2" borderId="54" xfId="5" applyFont="1" applyFill="1" applyBorder="1" applyAlignment="1" applyProtection="1">
      <alignment horizontal="center" vertical="center"/>
    </xf>
    <xf numFmtId="49" fontId="49" fillId="2" borderId="41" xfId="2" applyNumberFormat="1" applyFont="1" applyFill="1" applyBorder="1" applyAlignment="1" applyProtection="1">
      <alignment horizontal="center" vertical="center"/>
    </xf>
    <xf numFmtId="0" fontId="53" fillId="0" borderId="43" xfId="0" applyFont="1" applyBorder="1" applyAlignment="1">
      <alignment horizontal="center" vertical="center"/>
    </xf>
    <xf numFmtId="0" fontId="53" fillId="0" borderId="53" xfId="0" applyFont="1" applyBorder="1" applyAlignment="1">
      <alignment horizontal="center" vertical="center"/>
    </xf>
    <xf numFmtId="0" fontId="53" fillId="0" borderId="42" xfId="0" applyFont="1" applyBorder="1" applyAlignment="1">
      <alignment horizontal="center" vertical="center"/>
    </xf>
    <xf numFmtId="0" fontId="53" fillId="0" borderId="56" xfId="0" applyFont="1" applyBorder="1" applyAlignment="1">
      <alignment horizontal="center" vertical="center"/>
    </xf>
    <xf numFmtId="0" fontId="53" fillId="0" borderId="44" xfId="0" applyFont="1" applyBorder="1" applyAlignment="1">
      <alignment horizontal="center" vertical="center"/>
    </xf>
    <xf numFmtId="0" fontId="53" fillId="0" borderId="57" xfId="0" applyFont="1" applyBorder="1" applyAlignment="1">
      <alignment horizontal="center" vertical="center"/>
    </xf>
    <xf numFmtId="0" fontId="52" fillId="0" borderId="25" xfId="0" applyFont="1" applyBorder="1" applyAlignment="1">
      <alignment horizontal="center"/>
    </xf>
    <xf numFmtId="0" fontId="52" fillId="0" borderId="40" xfId="0" applyFont="1" applyBorder="1" applyAlignment="1">
      <alignment horizontal="center"/>
    </xf>
    <xf numFmtId="0" fontId="52" fillId="0" borderId="28" xfId="0" applyFont="1" applyBorder="1" applyAlignment="1">
      <alignment horizontal="center"/>
    </xf>
    <xf numFmtId="0" fontId="58" fillId="0" borderId="23" xfId="0" applyFont="1" applyBorder="1" applyAlignment="1">
      <alignment horizontal="center" vertical="center" wrapText="1"/>
    </xf>
    <xf numFmtId="0" fontId="58" fillId="0" borderId="76" xfId="0" applyFont="1" applyBorder="1" applyAlignment="1">
      <alignment horizontal="center" vertical="center" wrapText="1"/>
    </xf>
    <xf numFmtId="0" fontId="58" fillId="0" borderId="32" xfId="0" applyFont="1" applyBorder="1" applyAlignment="1">
      <alignment horizontal="center" vertical="center" wrapText="1"/>
    </xf>
    <xf numFmtId="0" fontId="58" fillId="0" borderId="5" xfId="0" applyFont="1" applyBorder="1" applyAlignment="1">
      <alignment horizontal="center" vertical="center" wrapText="1"/>
    </xf>
    <xf numFmtId="0" fontId="58" fillId="0" borderId="6" xfId="0" applyFont="1" applyBorder="1" applyAlignment="1">
      <alignment horizontal="center" vertical="center" wrapText="1"/>
    </xf>
    <xf numFmtId="0" fontId="58" fillId="0" borderId="7" xfId="0" applyFont="1" applyBorder="1" applyAlignment="1">
      <alignment horizontal="center" vertical="center" wrapText="1"/>
    </xf>
    <xf numFmtId="0" fontId="58" fillId="0" borderId="75" xfId="0" applyFont="1" applyBorder="1" applyAlignment="1">
      <alignment horizontal="center" vertical="center" wrapText="1"/>
    </xf>
    <xf numFmtId="0" fontId="58" fillId="0" borderId="0" xfId="0" applyFont="1" applyBorder="1" applyAlignment="1">
      <alignment horizontal="center" vertical="center" wrapText="1"/>
    </xf>
    <xf numFmtId="0" fontId="58" fillId="0" borderId="77" xfId="0" applyFont="1" applyBorder="1" applyAlignment="1">
      <alignment horizontal="center" vertical="center" wrapText="1"/>
    </xf>
    <xf numFmtId="0" fontId="58" fillId="0" borderId="8" xfId="0" applyFont="1" applyBorder="1" applyAlignment="1">
      <alignment horizontal="center" vertical="center" wrapText="1"/>
    </xf>
    <xf numFmtId="0" fontId="58" fillId="0" borderId="9" xfId="0" applyFont="1" applyBorder="1" applyAlignment="1">
      <alignment horizontal="center" vertical="center" wrapText="1"/>
    </xf>
    <xf numFmtId="0" fontId="58" fillId="0" borderId="10" xfId="0" applyFont="1" applyBorder="1" applyAlignment="1">
      <alignment horizontal="center" vertical="center" wrapText="1"/>
    </xf>
    <xf numFmtId="0" fontId="58" fillId="0" borderId="18" xfId="0" applyFont="1" applyBorder="1" applyAlignment="1">
      <alignment horizontal="center" vertical="center" wrapText="1"/>
    </xf>
    <xf numFmtId="0" fontId="58" fillId="0" borderId="14" xfId="0" applyFont="1" applyBorder="1" applyAlignment="1">
      <alignment horizontal="center" vertical="center" wrapText="1"/>
    </xf>
    <xf numFmtId="0" fontId="58" fillId="0" borderId="15" xfId="0" applyFont="1" applyBorder="1" applyAlignment="1">
      <alignment horizontal="center" vertical="center" wrapText="1"/>
    </xf>
    <xf numFmtId="0" fontId="1" fillId="0" borderId="0" xfId="10" applyAlignment="1">
      <alignment horizontal="center" vertical="center"/>
    </xf>
  </cellXfs>
  <cellStyles count="59">
    <cellStyle name="s1082" xfId="32" xr:uid="{E5EDC0C7-850D-4912-9E2E-26145570C750}"/>
    <cellStyle name="s1582" xfId="52" xr:uid="{54D60029-DA01-4538-8E2D-4B2782798A68}"/>
    <cellStyle name="s1586" xfId="31" xr:uid="{5F291C25-9049-446F-90A8-D2BA6D353270}"/>
    <cellStyle name="s173" xfId="24" xr:uid="{F924F814-9536-4400-8A35-A0DAEBB27B77}"/>
    <cellStyle name="s1778" xfId="41" xr:uid="{2D2D23EF-7C00-45E3-A57C-4AA2181DE8F0}"/>
    <cellStyle name="s1800" xfId="40" xr:uid="{E9EC8B4A-3802-4C0F-9407-759851DB8E03}"/>
    <cellStyle name="s181" xfId="47" xr:uid="{5F55FF0F-1F45-470B-916A-DAFA2177CC6F}"/>
    <cellStyle name="s1932" xfId="35" xr:uid="{2F781FA8-1346-4244-82CF-E00FC7238E6F}"/>
    <cellStyle name="s1974" xfId="44" xr:uid="{84F28FB0-9454-4C56-9C4B-816482C061A4}"/>
    <cellStyle name="s2098" xfId="33" xr:uid="{6DD30D3D-C319-42C4-9EFA-0969F95642AA}"/>
    <cellStyle name="s231" xfId="21" xr:uid="{57C3819F-4E71-4670-B415-94D1B73FB69D}"/>
    <cellStyle name="s2693" xfId="13" xr:uid="{EA830781-C350-45EB-A8CF-B417BB36D06F}"/>
    <cellStyle name="s2694" xfId="14" xr:uid="{47405D3D-6AFA-4795-BCC3-E1C753615B2D}"/>
    <cellStyle name="s2695" xfId="15" xr:uid="{2C3E664A-0916-4459-BFD9-657D3F8B2D5A}"/>
    <cellStyle name="s27" xfId="28" xr:uid="{B44E04B6-CC51-4431-A1C3-47B85EDD59CA}"/>
    <cellStyle name="s2704" xfId="38" xr:uid="{8BEB09E2-3FEF-4B68-9075-598050D6CD3C}"/>
    <cellStyle name="s2706" xfId="37" xr:uid="{6ACD1912-B4BA-4BD5-B3EB-57BA67A0EDB4}"/>
    <cellStyle name="s2710" xfId="46" xr:uid="{925C85BC-3915-4605-8E6B-2A6399100D98}"/>
    <cellStyle name="s2715" xfId="48" xr:uid="{C5051227-98B6-4D23-888D-535D20646B48}"/>
    <cellStyle name="s2716" xfId="50" xr:uid="{F6DF2B73-3CA0-46FE-9D65-54F8B4DD2C71}"/>
    <cellStyle name="s2718" xfId="49" xr:uid="{0E819B6C-469D-4E45-9F48-CC88C96A9450}"/>
    <cellStyle name="s37" xfId="30" xr:uid="{11F1E875-D0A9-4D00-A247-E3D08116A4BC}"/>
    <cellStyle name="s38" xfId="45" xr:uid="{7C977264-D187-4E57-A4CF-AFF846BD5839}"/>
    <cellStyle name="s43" xfId="20" xr:uid="{7635CA63-A175-4404-B5EF-BE7AC84C33E3}"/>
    <cellStyle name="s436" xfId="17" xr:uid="{0B15A1F7-97F3-4DCE-A108-F8D1E03CFD6F}"/>
    <cellStyle name="s437" xfId="18" xr:uid="{83532A49-383E-45AB-B1C0-99E4741D2AFE}"/>
    <cellStyle name="s503" xfId="23" xr:uid="{F1E9C71C-4B90-450E-AE37-1A4456948DBD}"/>
    <cellStyle name="s57" xfId="19" xr:uid="{FFB6050C-E3E7-4E57-AC76-47F207BE1C8E}"/>
    <cellStyle name="s58" xfId="12" xr:uid="{D8765249-B39C-4B9D-8789-1743A12DC35C}"/>
    <cellStyle name="s609" xfId="36" xr:uid="{42D4BD19-C975-4A60-A690-E76E0A87D008}"/>
    <cellStyle name="s69" xfId="39" xr:uid="{1C54251C-FC8A-4DE4-843B-8518C3914529}"/>
    <cellStyle name="s704" xfId="51" xr:uid="{BD0A0887-9FFB-4DF7-937A-7C4018A5567C}"/>
    <cellStyle name="s724" xfId="42" xr:uid="{E6069609-43CA-4081-BD3D-2F0F2EB70934}"/>
    <cellStyle name="s733" xfId="25" xr:uid="{E375C6A9-8149-4C8F-BDD9-EA49131EECB1}"/>
    <cellStyle name="s737" xfId="22" xr:uid="{3B081F1B-88A5-4E35-A6EA-18277BEBAC9B}"/>
    <cellStyle name="s747" xfId="27" xr:uid="{27F192A1-F01E-423A-B9B3-2EEE9D1CB0CE}"/>
    <cellStyle name="s749" xfId="26" xr:uid="{FBB35F67-2572-4FD7-B913-4D96C6B42460}"/>
    <cellStyle name="s760" xfId="29" xr:uid="{4C375A5E-3B70-494D-AA13-3F675F9F4F40}"/>
    <cellStyle name="s799" xfId="34" xr:uid="{B3CD9286-1A45-4692-8D24-50877B59E7A1}"/>
    <cellStyle name="s805" xfId="11" xr:uid="{BA16625C-D2E9-46DE-9FD8-968509A556A2}"/>
    <cellStyle name="s880" xfId="43" xr:uid="{E8B873D4-BCD8-4A69-8519-529640FCEEDD}"/>
    <cellStyle name="s970" xfId="16" xr:uid="{64F094C2-8495-4AF6-A7C4-77C5C83AB1B1}"/>
    <cellStyle name="Обычный" xfId="0" builtinId="0"/>
    <cellStyle name="Обычный 11 4 3 3 2 3 3" xfId="53" xr:uid="{943B73CD-8A3D-4CD6-879A-D6B820702643}"/>
    <cellStyle name="Обычный 11 4 3 3 2 3 3 2" xfId="58" xr:uid="{8BE216C4-2FF3-4501-8EDC-A8F912B06C6E}"/>
    <cellStyle name="Обычный 12" xfId="3" xr:uid="{1A0894AE-19C5-43A1-90CC-FCE72666FEEF}"/>
    <cellStyle name="Обычный 12 3 2 2 3" xfId="54" xr:uid="{E5A516F6-9B10-4203-983B-E20E893F07D9}"/>
    <cellStyle name="Обычный 2 15" xfId="56" xr:uid="{BAF07447-5994-4319-8F5B-C09E04C1DC42}"/>
    <cellStyle name="Обычный 2 2" xfId="55" xr:uid="{9E8F0700-1A2B-4D02-8A19-D16D398B8D90}"/>
    <cellStyle name="Обычный 3" xfId="10" xr:uid="{A15E8D1D-8348-4B7F-9FA9-89B9FD68809D}"/>
    <cellStyle name="Обычный 4 2" xfId="57" xr:uid="{A0597D58-3077-4438-974A-D00D6AA73363}"/>
    <cellStyle name="Обычный_123 ver3" xfId="5" xr:uid="{04163BE5-F9E9-4FE5-9B1F-BFCEE87F2E70}"/>
    <cellStyle name="Обычный_EE.20.MET.NET.2.16(v1.1)" xfId="1" xr:uid="{E45B6CC8-F926-4817-BD02-E1AEA569DF6D}"/>
    <cellStyle name="Обычный_Изменения прил.4 2" xfId="8" xr:uid="{B89DB4F0-28E1-428F-A6F2-86DFF3F0A010}"/>
    <cellStyle name="Обычный_Приложение 3 (вода) мет" xfId="4" xr:uid="{F9328718-67A6-42A5-AC06-C036F00B1722}"/>
    <cellStyle name="Обычный_Производственная_программа_ВС_" xfId="6" xr:uid="{EBFC636D-A7F9-45CC-92F4-EEC9D556FEB6}"/>
    <cellStyle name="Обычный_тарифы на 2002г с 1-01" xfId="2" xr:uid="{21435B0D-F2B5-4A8A-8A87-4436D41704A6}"/>
    <cellStyle name="Обычный_Тепло" xfId="7" xr:uid="{2CC4D25D-BDBC-43F1-852D-0C922DECF9E5}"/>
    <cellStyle name="Процентный 5" xfId="9" xr:uid="{C26B4E97-3F96-4770-BCE9-43827BB54A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26" Type="http://schemas.openxmlformats.org/officeDocument/2006/relationships/externalLink" Target="externalLinks/externalLink19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4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5" Type="http://schemas.openxmlformats.org/officeDocument/2006/relationships/externalLink" Target="externalLinks/externalLink18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externalLink" Target="externalLinks/externalLink13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24" Type="http://schemas.openxmlformats.org/officeDocument/2006/relationships/externalLink" Target="externalLinks/externalLink17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23" Type="http://schemas.openxmlformats.org/officeDocument/2006/relationships/externalLink" Target="externalLinks/externalLink16.xml"/><Relationship Id="rId28" Type="http://schemas.openxmlformats.org/officeDocument/2006/relationships/styles" Target="styles.xml"/><Relationship Id="rId10" Type="http://schemas.openxmlformats.org/officeDocument/2006/relationships/externalLink" Target="externalLinks/externalLink3.xml"/><Relationship Id="rId19" Type="http://schemas.openxmlformats.org/officeDocument/2006/relationships/externalLink" Target="externalLinks/externalLink1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externalLink" Target="externalLinks/externalLink15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28575</xdr:colOff>
      <xdr:row>10</xdr:row>
      <xdr:rowOff>28575</xdr:rowOff>
    </xdr:from>
    <xdr:to>
      <xdr:col>11</xdr:col>
      <xdr:colOff>68926</xdr:colOff>
      <xdr:row>11</xdr:row>
      <xdr:rowOff>126075</xdr:rowOff>
    </xdr:to>
    <xdr:pic macro="[14]!modList00.FREEZE_PANES">
      <xdr:nvPicPr>
        <xdr:cNvPr id="2" name="FREEZE_PANES_O16" descr="Без имени-1">
          <a:extLst>
            <a:ext uri="{FF2B5EF4-FFF2-40B4-BE49-F238E27FC236}">
              <a16:creationId xmlns:a16="http://schemas.microsoft.com/office/drawing/2014/main" id="{6D931ED4-32A3-4764-B466-B8F37CD91C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28575"/>
          <a:ext cx="288001" cy="28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571500</xdr:colOff>
      <xdr:row>0</xdr:row>
      <xdr:rowOff>209550</xdr:rowOff>
    </xdr:from>
    <xdr:to>
      <xdr:col>25</xdr:col>
      <xdr:colOff>152400</xdr:colOff>
      <xdr:row>21</xdr:row>
      <xdr:rowOff>0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EAE5E2A0-F63B-462A-A69B-46DA8F567A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72650" y="209550"/>
          <a:ext cx="7858125" cy="444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rst\Downloads\FAS.JKH.OPEN.INFO.BALANCE.VO_&#1054;&#1054;&#1054;%20&#1042;&#1086;&#1076;&#1086;&#1086;&#1090;&#1074;&#1077;&#1076;&#1077;&#1085;&#1080;&#1077;.xlsb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56;&#1040;&#1041;&#1054;&#1058;&#1040;\1.%20&#1058;&#1072;&#1088;&#1080;&#1092;&#1099;\8.%20&#1058;&#1072;&#1088;&#1080;&#1092;&#1085;&#1072;&#1103;%20&#1082;&#1086;&#1084;&#1087;&#1072;&#1085;&#1080;&#1103;%202023\&#1041;&#1077;&#1083;&#1086;&#1093;&#1086;&#1083;&#1091;&#1085;&#1080;&#1094;&#1082;&#1080;&#1081;\&#1052;&#1059;&#1055;%20&#1050;&#1086;&#1084;&#1084;&#1091;&#1085;&#1072;&#1083;&#1100;&#1085;&#1086;&#1077;%20&#1093;&#1086;&#1079;&#1103;&#1081;&#1089;&#1090;&#1074;&#1086;%20&#1042;&#1057;%20&#1042;&#1054;\EXPERT.VSVO.INDEX.CORR(v3.1)%20&#1052;&#1059;&#1055;%20&#1050;&#1086;&#1084;&#1084;&#1091;&#1085;&#1072;&#1083;&#1100;&#1085;&#1086;&#1077;%20&#1093;&#1086;&#1079;&#1103;&#1081;&#1089;&#1090;&#1074;&#1086;.xlsb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&#1070;&#1076;&#1080;&#1085;&#1094;&#1077;&#1074;&#1072;%20&#1053;.&#1043;\&#1086;&#1090;%20&#1050;&#1088;&#1080;&#1074;&#1086;&#1096;&#1077;&#1080;&#1085;&#1086;&#1081;%20&#1070;.&#1040;\2023\&#1042;&#1057;%20CALC.TARIFF.WATER.EIAS%20(2)%20(1)%20(1)%20(1)%20(1)%20(1)%20(1)_export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829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829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69;&#1047;%20&#1052;&#1050;&#1055;%20_&#1050;&#1086;&#1084;&#1084;&#1091;&#1085;&#1072;&#1083;&#1100;&#1085;&#1099;&#1077;%20&#1089;&#1080;&#1089;&#1090;&#1077;&#1084;&#1099;_&#1054;&#1041;&#1066;&#1045;&#1044;%20&#1082;&#1086;&#1088;%2025.xlsb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0;&#1053;&#1053;&#1040;%20&#1057;&#1045;&#1056;&#1043;&#1045;&#1045;&#1042;&#1053;&#1040;\&#1058;&#1040;&#1056;&#1048;&#1060;&#1067;\2025%20&#1075;&#1086;&#1076;\&#1052;&#1040;&#1058;&#1045;&#1056;&#1048;&#1040;&#1051;&#1067;\&#1042;&#1057;%20&#1050;&#1086;&#1088;&#1088;&#1077;&#1082;&#1090;%202024%20&#8212;%20&#1082;&#1086;&#1087;&#1080;&#1103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0;&#1053;&#1053;&#1040;%20&#1057;&#1045;&#1056;&#1043;&#1045;&#1045;&#1042;&#1053;&#1040;\&#1058;&#1040;&#1056;&#1048;&#1060;&#1067;\2025%20&#1075;&#1086;&#1076;\&#1052;&#1040;&#1058;&#1045;&#1056;&#1048;&#1040;&#1051;&#1067;\&#1042;&#1103;&#1090;&#1089;&#1082;&#1086;&#1087;&#1086;&#1083;&#1103;&#1085;&#1089;&#1082;&#1080;&#1081;\&#1050;&#1086;&#1084;&#1084;&#1091;&#1085;%20&#1089;&#1080;&#1089;&#1090;\&#1054;&#1058;%20&#1056;&#1057;&#1054;\&#1044;&#1054;&#1055;&#1067;\&#1040;&#1084;&#1086;&#1088;&#1090;&#1080;&#1079;&#1072;&#1094;&#1080;&#1103;\&#1072;&#1084;&#1086;&#1088;&#1090;%20&#1072;&#1074;&#1075;%202024\&#1042;&#1086;&#1076;&#1086;&#1086;&#1090;&#1074;&#1077;&#1076;&#1077;&#1085;&#1080;&#1077;%20&#1063;&#1077;&#1082;&#1072;&#1096;&#1077;&#1074;&#1086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0;&#1053;&#1053;&#1040;%20&#1057;&#1045;&#1056;&#1043;&#1045;&#1045;&#1042;&#1053;&#1040;\&#1058;&#1040;&#1056;&#1048;&#1060;&#1067;\2025%20&#1075;&#1086;&#1076;\&#1052;&#1040;&#1058;&#1045;&#1056;&#1048;&#1040;&#1051;&#1067;\&#1042;&#1103;&#1090;&#1089;&#1082;&#1086;&#1087;&#1086;&#1083;&#1103;&#1085;&#1089;&#1082;&#1080;&#1081;\&#1050;&#1086;&#1084;&#1084;&#1091;&#1085;%20&#1089;&#1080;&#1089;&#1090;\&#1054;&#1058;%20&#1056;&#1057;&#1054;\&#1044;&#1054;&#1055;&#1067;\&#1040;&#1084;&#1086;&#1088;&#1090;&#1080;&#1079;&#1072;&#1094;&#1080;&#1103;\&#1072;&#1084;&#1086;&#1088;&#1090;%20&#1072;&#1074;&#1075;%202024\&#1042;&#1086;&#1076;&#1086;&#1086;&#1090;&#1074;&#1077;&#1076;&#1077;&#1085;&#1080;&#1077;%20&#1045;&#1088;&#1096;&#1086;&#1074;&#1082;&#1072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0;&#1053;&#1053;&#1040;%20&#1057;&#1045;&#1056;&#1043;&#1045;&#1045;&#1042;&#1053;&#1040;\&#1058;&#1040;&#1056;&#1048;&#1060;&#1067;\2024%20&#1075;&#1086;&#1076;\&#1052;&#1040;&#1058;&#1045;&#1056;&#1048;&#1040;&#1051;&#1067;\&#1042;&#1103;&#1090;&#1089;&#1082;&#1086;&#1087;&#1086;&#1083;&#1103;&#1085;&#1089;&#1082;&#1080;&#1081;\&#1050;&#1086;&#1084;&#1084;%20&#1089;&#1080;&#1089;&#1090;\&#1055;&#1088;&#1072;&#1074;&#1083;&#1077;&#1085;&#1080;&#1077;%2007.11.2023%20&#1050;&#1086;&#1084;&#1084;%20&#1089;&#1080;&#1089;&#1090;%202024-2028%20&#1054;&#1073;&#1098;&#1077;&#1076;&#1080;&#1085;&#1077;&#1085;&#1080;&#1077;\&#1056;&#1072;&#1089;&#1095;&#1077;&#1090;%20&#1042;&#1054;%202024-2028%20&#1050;&#1086;&#1084;%20&#1089;&#1080;&#1089;&#1090;%20&#1054;&#1041;&#1066;&#1045;&#1044;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AppData\Local\Temp\Rar$DIa2412.45940\&#1056;&#1072;&#1089;&#1095;&#1077;&#1090;%20&#1042;&#1054;%202024-2028%2001.10.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&#1070;&#1076;&#1080;&#1085;&#1094;&#1077;&#1074;&#1072;%20&#1053;.&#1043;\&#1086;&#1090;%20&#1050;&#1088;&#1080;&#1074;&#1086;&#1096;&#1077;&#1080;&#1085;&#1086;&#1081;%20&#1070;.&#1040;\2023\CALC.TARIFF.WATER.EIAS%20&#1059;&#1085;&#1080;&#1074;&#1077;&#1088;&#1089;&#1072;&#1083;_expor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EXPERT.VSVO.INDEX.CORR(v3.1)%20&#1044;&#1080;&#1072;&#1083;&#1086;&#1075;.xlsb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56;&#1040;&#1041;&#1054;&#1058;&#1040;\1.%20&#1058;&#1072;&#1088;&#1080;&#1092;&#1099;\8.%20&#1058;&#1072;&#1088;&#1080;&#1092;&#1085;&#1072;&#1103;%20&#1082;&#1086;&#1084;&#1087;&#1072;&#1085;&#1080;&#1103;%202023\&#1041;&#1077;&#1083;&#1086;&#1093;&#1086;&#1083;&#1091;&#1085;&#1080;&#1094;&#1082;&#1080;&#1081;\&#1054;&#1054;&#1054;%20&#1057;&#1086;&#1102;&#1079;%20&#1043;&#1091;&#1088;&#1077;&#1085;&#1082;&#1080;,&#1055;&#1088;&#1086;&#1082;&#1086;&#1087;&#1100;&#1077;,&#1057;&#1090;&#1072;&#1088;&#1080;&#1082;&#1086;&#1074;&#1094;&#1099;,&#1056;&#1072;&#1082;&#1072;&#1083;&#1086;&#1074;&#1086;,&#1048;&#1074;&#1072;&#1085;&#1094;&#1077;&#1074;&#1086;\EXPERT.VSVO.INDEX.CORR(v3.1)%202019-2023%20(&#1043;&#1091;&#1088;,&#1057;&#1090;&#1072;&#1088;,&#1055;&#1088;&#1086;&#1082;,&#1056;&#1072;&#1082;&#1072;&#1083;,&#1055;&#1086;&#1083;&#1086;&#1084;).xlsb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54;&#1041;&#1065;&#1040;&#1071;\&#1058;&#1040;&#1056;&#1048;&#1060;&#1053;&#1040;&#1071;%20&#1050;&#1040;&#1052;&#1055;&#1040;&#1053;&#1048;&#1071;\&#1058;&#1072;&#1088;&#1080;&#1092;&#1085;&#1072;&#1103;%20&#1082;&#1086;&#1084;&#1087;&#1072;&#1085;&#1080;&#1103;%202023\&#1058;&#1069;&#1047;\&#1054;&#1058;&#1055;&#1056;&#1040;&#1042;&#1050;&#1040;%20&#1042;%20&#1056;&#1057;&#1054;%20&#1079;&#1072;&#1087;&#1088;&#1086;&#1089;&#1072;\EXPERT.VSVO.INDEX.CORR(v3.1)%20&#1082;&#1086;&#1088;&#1088;&#1077;&#1082;&#1090;.xlsb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56;&#1040;&#1041;&#1054;&#1058;&#1040;\1.%20&#1058;&#1072;&#1088;&#1080;&#1092;&#1099;\10.%20&#1058;&#1072;&#1088;&#1080;&#1092;&#1085;&#1072;&#1103;%20&#1082;&#1086;&#1084;&#1087;&#1072;&#1085;&#1080;&#1103;%202024\&#1041;&#1077;&#1083;&#1086;&#1093;&#1086;&#1083;&#1091;&#1085;&#1080;&#1094;&#1082;&#1080;&#1081;\&#1057;&#1055;&#1050;%20&#1041;&#1099;&#1076;&#1072;&#1085;&#1086;&#1074;&#1086;%20&#1042;&#1057;%202024-2028\&#1056;&#1072;&#1089;&#1095;&#1077;&#1090;%20&#1042;&#1057;%20&#1057;&#1055;&#1050;%20&#1041;&#1099;&#1076;&#1072;&#1085;&#1086;&#1074;&#1086;%202024-2028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0;&#1053;&#1053;&#1040;%20&#1057;&#1045;&#1056;&#1043;&#1045;&#1045;&#1042;&#1053;&#1040;\&#1058;&#1040;&#1056;&#1048;&#1060;&#1067;\2025%20&#1075;&#1086;&#1076;\&#1052;&#1040;&#1058;&#1045;&#1056;&#1048;&#1040;&#1051;&#1067;\&#1050;&#1086;&#1087;&#1080;&#1103;%20&#1056;&#1072;&#1089;&#1095;&#1077;&#1090;%20&#1082;&#1086;&#1088;&#1088;%202025%20&#1042;&#1054;&#1044;&#1040;!!!!!!!!!!!!!!!!!!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0;&#1053;&#1053;&#1040;%20&#1057;&#1045;&#1056;&#1043;&#1045;&#1045;&#1042;&#1053;&#1040;\&#1058;&#1040;&#1056;&#1048;&#1060;&#1067;\2025%20&#1075;&#1086;&#1076;\&#1052;&#1040;&#1058;&#1045;&#1056;&#1048;&#1040;&#1051;&#1067;\&#1056;&#1072;&#1089;&#1095;&#1077;&#1090;%20&#1082;&#1086;&#1088;&#1088;%202025%20&#1057;&#1058;&#1054;&#1050;&#1048;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1;&#1080;&#1089;&#1090;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List07"/>
      <sheetName val="modList05"/>
      <sheetName val="modProv"/>
      <sheetName val="Инструкция"/>
      <sheetName val="Лог обновления"/>
      <sheetName val="Титульный"/>
      <sheetName val="Территории"/>
      <sheetName val="Дифференциация"/>
      <sheetName val="Форма 1.0.1 | Форма 3.5.1"/>
      <sheetName val="Форма 3.5.1"/>
      <sheetName val="Форма 1.0.1 | Форма 3.5.2"/>
      <sheetName val="Форма 3.5.2"/>
      <sheetName val="Форма 1.0.1 | Форма 3.6"/>
      <sheetName val="Форма 3.6"/>
      <sheetName val="Форма 1.0.1 | Форма 3.7"/>
      <sheetName val="Форма 3.7"/>
      <sheetName val="Форма 1.0.2"/>
      <sheetName val="Сведения об изменении"/>
      <sheetName val="Комментарии"/>
      <sheetName val="Проверка"/>
      <sheetName val="modReestr"/>
      <sheetName val="AllSheetsInThisWorkbook"/>
      <sheetName val="modCheckCyan"/>
      <sheetName val="modInfo"/>
      <sheetName val="TEHSHEET"/>
      <sheetName val="modfrmSelectData"/>
      <sheetName val="modList06"/>
      <sheetName val="modList01"/>
      <sheetName val="modList08"/>
      <sheetName val="et_union_hor"/>
      <sheetName val="et_union_vert"/>
      <sheetName val="modList00"/>
      <sheetName val="modList02"/>
      <sheetName val="modList03"/>
      <sheetName val="modList04"/>
      <sheetName val="modList09"/>
      <sheetName val="modHTTP"/>
      <sheetName val="modfrmRegion"/>
      <sheetName val="MR_LIST"/>
      <sheetName val="REESTR_VT"/>
      <sheetName val="REESTR_VED"/>
      <sheetName val="modfrmReestrObj"/>
      <sheetName val="DataOrg"/>
      <sheetName val="modfrmReestr"/>
      <sheetName val="modUpdTemplMain"/>
      <sheetName val="REESTR_ORG"/>
      <sheetName val="modClassifierValidate"/>
      <sheetName val="modHyp"/>
      <sheetName val="modfrmDateChoose"/>
      <sheetName val="modComm"/>
      <sheetName val="modThisWorkbook"/>
      <sheetName val="REESTR_MO"/>
      <sheetName val="REESTR_MO_FILTER"/>
      <sheetName val="modfrmReestrMR"/>
      <sheetName val="modServiceModule"/>
      <sheetName val="modfrmCheckUpdates"/>
      <sheetName val="REESTR_DS"/>
      <sheetName val="REESTR_CHS"/>
      <sheetName val="REESTR_LINK"/>
    </sheetNames>
    <sheetDataSet>
      <sheetData sheetId="0"/>
      <sheetData sheetId="1"/>
      <sheetData sheetId="2"/>
      <sheetData sheetId="3"/>
      <sheetData sheetId="4"/>
      <sheetData sheetId="5">
        <row r="32">
          <cell r="F32" t="str">
            <v>да</v>
          </cell>
        </row>
        <row r="33">
          <cell r="F33" t="str">
            <v>19.02.2021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Prov"/>
      <sheetName val="Инструкция"/>
      <sheetName val="Лог обновления"/>
      <sheetName val="Пояснения"/>
      <sheetName val="Список листов"/>
      <sheetName val="Общие сведения"/>
      <sheetName val="et_union"/>
      <sheetName val="Список территорий"/>
      <sheetName val="Список объектов"/>
      <sheetName val="Сценарии"/>
      <sheetName val="Баланс"/>
      <sheetName val="Реагенты"/>
      <sheetName val="ЭЭ"/>
      <sheetName val="Амортизация"/>
      <sheetName val="Аренда"/>
      <sheetName val="Покупка"/>
      <sheetName val="Налоги"/>
      <sheetName val="ИП + источники"/>
      <sheetName val="Экономия_корр"/>
      <sheetName val="Плата за негативное возд"/>
      <sheetName val="Корректировка НВВ"/>
      <sheetName val="Калькуляция"/>
      <sheetName val="ТМ"/>
      <sheetName val="ДПР"/>
      <sheetName val="ДПР (концессии)"/>
      <sheetName val="TEHSHEET"/>
      <sheetName val="Комментарии"/>
      <sheetName val="Проверка"/>
      <sheetName val="modProvGeneralProc"/>
      <sheetName val="REESTR_MO"/>
      <sheetName val="REESTR_ORG"/>
      <sheetName val="REESTR_TARIFF"/>
      <sheetName val="OKOPF"/>
      <sheetName val="modfrmRegion"/>
      <sheetName val="modfrmSelectTariff"/>
      <sheetName val="modHTTP"/>
      <sheetName val="modCheckCyan"/>
      <sheetName val="modfrmActivity"/>
      <sheetName val="modfrmCheckUpdates"/>
      <sheetName val="modUpdTemplMain"/>
      <sheetName val="modList00"/>
      <sheetName val="modThisWorkbook"/>
      <sheetName val="modInstruction"/>
      <sheetName val="AllSheetsInThisWorkbook"/>
      <sheetName val="modHyp"/>
      <sheetName val="modfrmReestr"/>
      <sheetName val="modReestr"/>
      <sheetName val="modList01"/>
      <sheetName val="modList02"/>
      <sheetName val="modList05"/>
      <sheetName val="modList06"/>
      <sheetName val="modList09"/>
      <sheetName val="modList10"/>
      <sheetName val="modList11"/>
      <sheetName val="modList16"/>
      <sheetName val="modList18"/>
      <sheetName val="modList15"/>
      <sheetName val="EXPERT.VSVO.INDEX.CORR(v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8">
          <cell r="H8">
            <v>2023</v>
          </cell>
        </row>
        <row r="9">
          <cell r="J9">
            <v>2023</v>
          </cell>
        </row>
        <row r="17">
          <cell r="O17" t="str">
            <v>Кировская область / 2023 / МУП "Коммунальное хозяйство" (ИНН:4303006760, КПП:430301001) / ДПР: 2022-2026</v>
          </cell>
        </row>
        <row r="41">
          <cell r="H41" t="str">
            <v>нет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>
        <row r="2">
          <cell r="X2" t="str">
            <v>аренда</v>
          </cell>
          <cell r="Y2" t="str">
            <v>Без разбивки</v>
          </cell>
        </row>
        <row r="3">
          <cell r="Y3" t="str">
            <v>ВН1</v>
          </cell>
        </row>
        <row r="4">
          <cell r="Y4" t="str">
            <v>ВН</v>
          </cell>
        </row>
        <row r="5">
          <cell r="Y5" t="str">
            <v>СН1</v>
          </cell>
        </row>
        <row r="6">
          <cell r="Y6" t="str">
            <v>СН2</v>
          </cell>
        </row>
        <row r="7">
          <cell r="Y7" t="str">
            <v>НН</v>
          </cell>
        </row>
      </sheetData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ст предзагрузки"/>
      <sheetName val="Настройка списков"/>
      <sheetName val="Общие настройки"/>
      <sheetName val="Itog_Etalon"/>
      <sheetName val="Itog_Formula"/>
      <sheetName val="fmls_translate_result"/>
      <sheetName val="Список листов"/>
      <sheetName val="Инструкция"/>
      <sheetName val="Титульный"/>
      <sheetName val="Тарифы"/>
      <sheetName val="testPreloadResult"/>
      <sheetName val="Лист1"/>
      <sheetName val="TECHSHEET"/>
      <sheetName val="Лист5"/>
      <sheetName val="Заявление"/>
      <sheetName val="Документы"/>
      <sheetName val="Справочники"/>
      <sheetName val="Индексы"/>
      <sheetName val="Список объектов"/>
      <sheetName val="ПО_нас"/>
      <sheetName val="Реестр потребителей"/>
      <sheetName val="Потери"/>
      <sheetName val="Отпуск воды"/>
      <sheetName val="ФормулыTemp"/>
      <sheetName val="Формулы2"/>
      <sheetName val="Формулы"/>
      <sheetName val="Объемы ВО"/>
      <sheetName val="Баланс ПП"/>
      <sheetName val="Баланс ПП МО"/>
      <sheetName val="Оборудование"/>
      <sheetName val="Сети"/>
      <sheetName val="Объемы по методике"/>
      <sheetName val="Условные метры"/>
      <sheetName val="Показатели"/>
      <sheetName val="ИТОГ"/>
      <sheetName val="Тарифы по периодам"/>
      <sheetName val="Лист2"/>
      <sheetName val="СиМ (детально)"/>
      <sheetName val="Сырье и материалы"/>
      <sheetName val="ЭЭ"/>
      <sheetName val="Оборудование - ЭЭ"/>
      <sheetName val="ТЭ"/>
      <sheetName val="ТН"/>
      <sheetName val="Топливо"/>
      <sheetName val="Оплата услуг ВО"/>
      <sheetName val="Покупка воды"/>
      <sheetName val="Транспортировка"/>
      <sheetName val="Земел. уч."/>
      <sheetName val="Аренда"/>
      <sheetName val="Амортизация"/>
      <sheetName val="Общие показатели"/>
      <sheetName val="Тарифная сетка"/>
      <sheetName val="Коэффициент невыходов"/>
      <sheetName val="Персонал"/>
      <sheetName val="Сбыт"/>
      <sheetName val="Счет 23"/>
      <sheetName val="Счет 25"/>
      <sheetName val="Адм.расходы"/>
      <sheetName val="ФОТ (по ВД)"/>
      <sheetName val="ФОТ"/>
      <sheetName val="Бесхоз"/>
      <sheetName val="Лист4"/>
      <sheetName val="tech"/>
      <sheetName val="Капремонт"/>
      <sheetName val="Текремонт"/>
      <sheetName val="preloadProcs"/>
      <sheetName val="Налоги"/>
      <sheetName val="Прочие прямые"/>
      <sheetName val="Экон. проч"/>
      <sheetName val="Экон. ОР"/>
      <sheetName val="Экон. ЭЭ"/>
      <sheetName val="Общая экономия"/>
      <sheetName val="Плата за негативное возд"/>
      <sheetName val="Корр по факту"/>
      <sheetName val="Корр по периодам"/>
      <sheetName val="ДПР"/>
      <sheetName val="Анализ ФХД"/>
      <sheetName val="План ПП"/>
      <sheetName val="Факт ПП"/>
      <sheetName val="Концессия"/>
      <sheetName val="Амортизация (аналог)"/>
      <sheetName val="Расчет тарифа (аналог)"/>
      <sheetName val="Смета"/>
      <sheetName val="Расчет МЭОР"/>
      <sheetName val="ОР (базовый)"/>
      <sheetName val="ИИКА"/>
      <sheetName val="НР"/>
      <sheetName val="Расчет тарифа(корректировка) МИ"/>
      <sheetName val="ПП исх"/>
      <sheetName val="ПП вход"/>
      <sheetName val="БПр_ВС_ФАС"/>
      <sheetName val="БТр_ВС_ФАС"/>
      <sheetName val="БПр_ВО_ФАС"/>
      <sheetName val="БТр_ВО_ФАС"/>
      <sheetName val="Р_ФАС"/>
      <sheetName val="К_ФАС"/>
      <sheetName val="ТМ1"/>
      <sheetName val="ТМ2"/>
      <sheetName val="ТН ФАС"/>
      <sheetName val="ATTACH_DOC"/>
      <sheetName val="Столбцы"/>
      <sheetName val="Столбцы отображение"/>
      <sheetName val="TECH_VERTICAL"/>
      <sheetName val="REESTR_ORG"/>
      <sheetName val="Check"/>
      <sheetName val="Справочник ВД"/>
      <sheetName val="Списки"/>
      <sheetName val="Новые списки"/>
      <sheetName val="REESTR_AREA"/>
      <sheetName val="LIST_DPR"/>
      <sheetName val="REESTR_OBJ_VS"/>
      <sheetName val="REESTR_OBJ_VO"/>
      <sheetName val="REESTR_TARIFF"/>
      <sheetName val="REESTR_MO"/>
      <sheetName val="SheetInfo"/>
      <sheetName val="Информация"/>
      <sheetName val="Лист3"/>
      <sheetName val="autocheck"/>
    </sheetNames>
    <sheetDataSet>
      <sheetData sheetId="0"/>
      <sheetData sheetId="1"/>
      <sheetData sheetId="2">
        <row r="107">
          <cell r="G107" t="str">
            <v>один год</v>
          </cell>
        </row>
      </sheetData>
      <sheetData sheetId="3"/>
      <sheetData sheetId="4"/>
      <sheetData sheetId="5"/>
      <sheetData sheetId="6"/>
      <sheetData sheetId="7"/>
      <sheetData sheetId="8">
        <row r="11">
          <cell r="AD11" t="str">
            <v>Кировская область</v>
          </cell>
        </row>
        <row r="62">
          <cell r="AD62" t="str">
            <v>Метод индексации</v>
          </cell>
        </row>
      </sheetData>
      <sheetData sheetId="9">
        <row r="86">
          <cell r="AB86"/>
        </row>
      </sheetData>
      <sheetData sheetId="10"/>
      <sheetData sheetId="11"/>
      <sheetData sheetId="12">
        <row r="2">
          <cell r="DG2" t="str">
            <v>Версия организации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5">
          <cell r="AN5" t="str">
            <v>2020</v>
          </cell>
        </row>
      </sheetData>
      <sheetData sheetId="27"/>
      <sheetData sheetId="28"/>
      <sheetData sheetId="29"/>
      <sheetData sheetId="30"/>
      <sheetData sheetId="31"/>
      <sheetData sheetId="32"/>
      <sheetData sheetId="33">
        <row r="5">
          <cell r="AG5" t="str">
            <v>2021</v>
          </cell>
        </row>
      </sheetData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.6.1."/>
      <sheetName val="3.6.3."/>
    </sheetNames>
    <sheetDataSet>
      <sheetData sheetId="0"/>
      <sheetData sheetId="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.6.1."/>
      <sheetName val="3.6.3."/>
    </sheetNames>
    <sheetDataSet>
      <sheetData sheetId="0"/>
      <sheetData sheetId="1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List00"/>
      <sheetName val="modProvGeneralProc"/>
      <sheetName val="modList02"/>
      <sheetName val="modfrmReestrSource"/>
      <sheetName val="modHTTP"/>
      <sheetName val="modPreload"/>
      <sheetName val="modReestr"/>
      <sheetName val="modProv"/>
      <sheetName val="modfrmRegion"/>
      <sheetName val="Инструкция"/>
      <sheetName val="Лог обновления"/>
      <sheetName val="Пояснения"/>
      <sheetName val="Список листов"/>
      <sheetName val="Общие сведения"/>
      <sheetName val="Список территорий"/>
      <sheetName val="Список объектов"/>
      <sheetName val="Сценарии"/>
      <sheetName val="Баланс"/>
      <sheetName val="Реагенты"/>
      <sheetName val="ЭЭ"/>
      <sheetName val="Амортизация"/>
      <sheetName val="Аренда"/>
      <sheetName val="Покупка"/>
      <sheetName val="Налоги"/>
      <sheetName val="ИП + источники"/>
      <sheetName val="Экономия_корр"/>
      <sheetName val="Плата за негативное возд"/>
      <sheetName val="Корректировка НВВ"/>
      <sheetName val="Калькуляция"/>
      <sheetName val="et_union"/>
      <sheetName val="ТМ"/>
      <sheetName val="ДПР"/>
      <sheetName val="ДПР (концессии)"/>
      <sheetName val="TEHSHEET"/>
      <sheetName val="Комментарии"/>
      <sheetName val="Проверка"/>
      <sheetName val="REESTR_MO"/>
      <sheetName val="REESTR_ORG"/>
      <sheetName val="REESTR_TARIFF"/>
      <sheetName val="REESTR_OBJECT"/>
      <sheetName val="modfrmDPR"/>
      <sheetName val="modfrmSelectTemplate"/>
      <sheetName val="DICTIONARIES"/>
      <sheetName val="modfrmSelectTariff"/>
      <sheetName val="modCheckCyan"/>
      <sheetName val="modfrmActivity"/>
      <sheetName val="modfrmCheckUpdates"/>
      <sheetName val="modUpdTemplMain"/>
      <sheetName val="modThisWorkbook"/>
      <sheetName val="modInstruction"/>
      <sheetName val="AllSheetsInThisWorkbook"/>
      <sheetName val="modHyp"/>
      <sheetName val="modfrmReestr"/>
      <sheetName val="modList01"/>
      <sheetName val="modList05"/>
      <sheetName val="modList06"/>
      <sheetName val="modList09"/>
      <sheetName val="modList10"/>
      <sheetName val="modList11"/>
      <sheetName val="modList16"/>
      <sheetName val="modList18"/>
      <sheetName val="modList15"/>
      <sheetName val="modList17"/>
      <sheetName val="ТЭЗ МКП _Коммунальные системы_О"/>
    </sheetNames>
    <definedNames>
      <definedName name="modList00.FREEZE_PANE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21">
          <cell r="D121" t="str">
            <v>0</v>
          </cell>
        </row>
        <row r="122">
          <cell r="D122" t="str">
            <v>1</v>
          </cell>
          <cell r="H122" t="str">
            <v>Водоснабжение</v>
          </cell>
          <cell r="J122" t="str">
            <v>Тариф 1 (Водоснабжение) - тариф на питьевую воду</v>
          </cell>
          <cell r="N122" t="str">
            <v>одноставочный</v>
          </cell>
        </row>
        <row r="123">
          <cell r="H123" t="str">
            <v>ХВС.43.26444339.0011</v>
          </cell>
        </row>
        <row r="124">
          <cell r="H124" t="str">
            <v>тариф на питьевую воду</v>
          </cell>
        </row>
        <row r="125">
          <cell r="H125" t="str">
            <v>одноставочный</v>
          </cell>
        </row>
        <row r="126">
          <cell r="H126" t="str">
            <v>Производство (подъём / добыча) воды</v>
          </cell>
        </row>
        <row r="127">
          <cell r="H127" t="str">
            <v>питьевая вода</v>
          </cell>
        </row>
        <row r="129">
          <cell r="H129">
            <v>1964</v>
          </cell>
        </row>
        <row r="130">
          <cell r="H130">
            <v>45772</v>
          </cell>
        </row>
        <row r="131">
          <cell r="H131" t="str">
            <v>https://data-platform.ru/lk/files/Files/HiDzdd/99f7a507-c9c1-4d0c-bf61-759747099d3e</v>
          </cell>
        </row>
        <row r="132">
          <cell r="H132" t="str">
            <v>индексации (корректировка)</v>
          </cell>
        </row>
        <row r="133">
          <cell r="H133">
            <v>2024</v>
          </cell>
        </row>
        <row r="134">
          <cell r="H134">
            <v>5</v>
          </cell>
        </row>
        <row r="135">
          <cell r="D135" t="str">
            <v>2</v>
          </cell>
          <cell r="H135" t="str">
            <v>Водоотведение</v>
          </cell>
          <cell r="J135" t="str">
            <v>Тариф 2 (Водоотведение) - тариф на водоотведение</v>
          </cell>
          <cell r="N135" t="str">
            <v>одноставочный</v>
          </cell>
        </row>
        <row r="136">
          <cell r="H136" t="str">
            <v>ВО.43.26444339.0006</v>
          </cell>
        </row>
        <row r="137">
          <cell r="H137" t="str">
            <v>тариф на водоотведение</v>
          </cell>
        </row>
        <row r="138">
          <cell r="H138" t="str">
            <v>одноставочный</v>
          </cell>
        </row>
        <row r="139">
          <cell r="H139" t="str">
            <v>Приём сточных вод :: Очистка сточных вод</v>
          </cell>
        </row>
        <row r="140">
          <cell r="H140" t="str">
            <v>без дифференциации</v>
          </cell>
        </row>
        <row r="142">
          <cell r="H142">
            <v>1965</v>
          </cell>
        </row>
        <row r="143">
          <cell r="H143">
            <v>45772</v>
          </cell>
        </row>
        <row r="144">
          <cell r="H144" t="str">
            <v>https://data-platform.ru/lk/files/Files/HiDzdd/fa051cc7-d46d-4d76-a6ef-0ac743ee6015</v>
          </cell>
        </row>
        <row r="145">
          <cell r="H145" t="str">
            <v>индексации (корректировка)</v>
          </cell>
        </row>
        <row r="146">
          <cell r="H146">
            <v>2024</v>
          </cell>
        </row>
        <row r="147">
          <cell r="H147">
            <v>5</v>
          </cell>
        </row>
      </sheetData>
      <sheetData sheetId="14"/>
      <sheetData sheetId="15"/>
      <sheetData sheetId="16">
        <row r="3">
          <cell r="O3" t="str">
            <v>2023Принято органом регулирования</v>
          </cell>
          <cell r="P3" t="str">
            <v>2023Факт по данным организации</v>
          </cell>
          <cell r="Q3" t="str">
            <v>2023Факт, принятый органом регулирования</v>
          </cell>
          <cell r="R3" t="str">
            <v>2023Комментарии</v>
          </cell>
          <cell r="S3" t="str">
            <v>2024Принято органом регулирования</v>
          </cell>
          <cell r="T3" t="str">
            <v>2025Предложение организации</v>
          </cell>
          <cell r="U3" t="str">
            <v>2025Принято органом регулирования</v>
          </cell>
          <cell r="V3" t="str">
            <v>2025% роста / снижения</v>
          </cell>
          <cell r="W3" t="str">
            <v>2025Отклонение (принято органом регулирования - заявлено организацией)</v>
          </cell>
          <cell r="X3" t="str">
            <v>2025Комментарии</v>
          </cell>
          <cell r="Y3" t="str">
            <v>2026Предложение организации</v>
          </cell>
          <cell r="Z3" t="str">
            <v>2026Принято органом регулирования</v>
          </cell>
          <cell r="AA3" t="str">
            <v>2027Предложение организации</v>
          </cell>
          <cell r="AB3" t="str">
            <v>2027Принято органом регулирования</v>
          </cell>
          <cell r="AC3" t="str">
            <v>2028Предложение организации</v>
          </cell>
          <cell r="AD3" t="str">
            <v>2028Принято органом регулирования</v>
          </cell>
          <cell r="AE3" t="str">
            <v>2029Предложение организации</v>
          </cell>
          <cell r="AF3" t="str">
            <v>2029Принято органом регулирования</v>
          </cell>
          <cell r="AG3" t="str">
            <v>2030Предложение организации</v>
          </cell>
          <cell r="AH3" t="str">
            <v>2030Принято органом регулирования</v>
          </cell>
          <cell r="AI3" t="str">
            <v>2031Предложение организации</v>
          </cell>
          <cell r="AJ3" t="str">
            <v>2031Принято органом регулирования</v>
          </cell>
          <cell r="AK3" t="str">
            <v>2032Предложение организации</v>
          </cell>
          <cell r="AL3" t="str">
            <v>2032Принято органом регулирования</v>
          </cell>
          <cell r="AM3" t="str">
            <v>2033Предложение организации</v>
          </cell>
          <cell r="AN3" t="str">
            <v>2033Принято органом регулирования</v>
          </cell>
          <cell r="AO3" t="str">
            <v>2034Предложение организации</v>
          </cell>
          <cell r="AP3" t="str">
            <v>2034Принято органом регулирования</v>
          </cell>
        </row>
        <row r="15">
          <cell r="A15" t="str">
            <v>t</v>
          </cell>
          <cell r="O15" t="str">
            <v>Принято органом регулирования</v>
          </cell>
          <cell r="P15" t="str">
            <v>Факт по данным организации</v>
          </cell>
          <cell r="Q15" t="str">
            <v>Факт, принятый органом регулирования</v>
          </cell>
          <cell r="R15" t="str">
            <v>Комментарии</v>
          </cell>
          <cell r="S15" t="str">
            <v>Принято органом регулирования</v>
          </cell>
          <cell r="T15" t="str">
            <v>Предложение организации</v>
          </cell>
          <cell r="U15" t="str">
            <v>Принято органом регулирования</v>
          </cell>
          <cell r="V15" t="str">
            <v>% роста / снижения</v>
          </cell>
          <cell r="W15" t="str">
            <v>Отклонение (принято органом регулирования - заявлено организацией)</v>
          </cell>
          <cell r="X15" t="str">
            <v>Комментарии</v>
          </cell>
          <cell r="Y15" t="str">
            <v>Предложение организации</v>
          </cell>
          <cell r="Z15" t="str">
            <v>Принято органом регулирования</v>
          </cell>
          <cell r="AA15" t="str">
            <v>Предложение организации</v>
          </cell>
          <cell r="AB15" t="str">
            <v>Принято органом регулирования</v>
          </cell>
          <cell r="AC15" t="str">
            <v>Предложение организации</v>
          </cell>
          <cell r="AD15" t="str">
            <v>Принято органом регулирования</v>
          </cell>
          <cell r="AE15" t="str">
            <v>Предложение организации</v>
          </cell>
          <cell r="AF15" t="str">
            <v>Принято органом регулирования</v>
          </cell>
          <cell r="AG15" t="str">
            <v>Предложение организации</v>
          </cell>
          <cell r="AH15" t="str">
            <v>Принято органом регулирования</v>
          </cell>
          <cell r="AI15" t="str">
            <v>Предложение организации</v>
          </cell>
          <cell r="AJ15" t="str">
            <v>Принято органом регулирования</v>
          </cell>
          <cell r="AK15" t="str">
            <v>Предложение организации</v>
          </cell>
          <cell r="AL15" t="str">
            <v>Принято органом регулирования</v>
          </cell>
          <cell r="AM15" t="str">
            <v>Предложение организации</v>
          </cell>
          <cell r="AN15" t="str">
            <v>Принято органом регулирования</v>
          </cell>
          <cell r="AO15" t="str">
            <v>Предложение организации</v>
          </cell>
          <cell r="AP15" t="str">
            <v>Принято органом регулирования</v>
          </cell>
        </row>
        <row r="16">
          <cell r="A16" t="str">
            <v>1</v>
          </cell>
        </row>
        <row r="17">
          <cell r="A17" t="str">
            <v>1</v>
          </cell>
          <cell r="B17" t="str">
            <v>ИОР</v>
          </cell>
          <cell r="S17">
            <v>1.0469999999999999</v>
          </cell>
          <cell r="T17">
            <v>1.042</v>
          </cell>
          <cell r="U17">
            <v>1.04</v>
          </cell>
          <cell r="Y17">
            <v>1.04</v>
          </cell>
          <cell r="Z17">
            <v>1.04</v>
          </cell>
          <cell r="AA17">
            <v>1.04</v>
          </cell>
          <cell r="AB17">
            <v>1.04</v>
          </cell>
          <cell r="AC17">
            <v>1.04</v>
          </cell>
          <cell r="AD17">
            <v>1.04</v>
          </cell>
          <cell r="AE17">
            <v>1</v>
          </cell>
          <cell r="AF17">
            <v>1</v>
          </cell>
          <cell r="AG17">
            <v>1</v>
          </cell>
          <cell r="AH17">
            <v>1</v>
          </cell>
          <cell r="AI17">
            <v>1</v>
          </cell>
          <cell r="AJ17">
            <v>1</v>
          </cell>
          <cell r="AK17">
            <v>1</v>
          </cell>
          <cell r="AL17">
            <v>1</v>
          </cell>
          <cell r="AM17">
            <v>1</v>
          </cell>
          <cell r="AN17">
            <v>1</v>
          </cell>
          <cell r="AO17">
            <v>1</v>
          </cell>
          <cell r="AP17">
            <v>1</v>
          </cell>
        </row>
        <row r="18">
          <cell r="A18" t="str">
            <v>1</v>
          </cell>
          <cell r="B18" t="str">
            <v>ИЭР</v>
          </cell>
          <cell r="O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</row>
        <row r="19">
          <cell r="A19" t="str">
            <v>1</v>
          </cell>
          <cell r="B19" t="str">
            <v>ИПЦ</v>
          </cell>
          <cell r="O19">
            <v>6</v>
          </cell>
          <cell r="S19">
            <v>4.7</v>
          </cell>
          <cell r="T19">
            <v>4.2</v>
          </cell>
          <cell r="U19">
            <v>4</v>
          </cell>
          <cell r="V19">
            <v>0.85106382978723405</v>
          </cell>
          <cell r="W19">
            <v>-0.20000000000000018</v>
          </cell>
          <cell r="Y19">
            <v>4</v>
          </cell>
          <cell r="Z19">
            <v>4</v>
          </cell>
          <cell r="AA19">
            <v>4</v>
          </cell>
          <cell r="AB19">
            <v>4</v>
          </cell>
          <cell r="AC19">
            <v>4</v>
          </cell>
          <cell r="AD19">
            <v>4</v>
          </cell>
        </row>
        <row r="20">
          <cell r="A20" t="str">
            <v>1</v>
          </cell>
          <cell r="O20">
            <v>9</v>
          </cell>
          <cell r="S20">
            <v>6</v>
          </cell>
          <cell r="T20">
            <v>7.5</v>
          </cell>
          <cell r="U20">
            <v>5</v>
          </cell>
          <cell r="V20">
            <v>0.83333333333333337</v>
          </cell>
          <cell r="W20">
            <v>-2.5</v>
          </cell>
          <cell r="Y20">
            <v>5</v>
          </cell>
          <cell r="Z20">
            <v>5</v>
          </cell>
          <cell r="AA20">
            <v>5</v>
          </cell>
          <cell r="AB20">
            <v>5</v>
          </cell>
          <cell r="AC20">
            <v>5</v>
          </cell>
          <cell r="AD20">
            <v>5</v>
          </cell>
        </row>
        <row r="21">
          <cell r="A21" t="str">
            <v>1</v>
          </cell>
          <cell r="B21" t="str">
            <v>ИКА</v>
          </cell>
          <cell r="O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</row>
        <row r="22">
          <cell r="A22" t="str">
            <v>1</v>
          </cell>
        </row>
        <row r="23">
          <cell r="A23" t="str">
            <v>1</v>
          </cell>
          <cell r="B23" t="str">
            <v>СВФОТ</v>
          </cell>
          <cell r="O23">
            <v>30.2</v>
          </cell>
          <cell r="P23">
            <v>30.2</v>
          </cell>
          <cell r="S23">
            <v>30.2</v>
          </cell>
          <cell r="T23">
            <v>30.2</v>
          </cell>
          <cell r="U23">
            <v>30.2</v>
          </cell>
          <cell r="V23">
            <v>1</v>
          </cell>
          <cell r="W23">
            <v>0</v>
          </cell>
          <cell r="Y23">
            <v>30.2</v>
          </cell>
          <cell r="Z23">
            <v>30.2</v>
          </cell>
          <cell r="AA23">
            <v>30.2</v>
          </cell>
          <cell r="AB23">
            <v>30.2</v>
          </cell>
          <cell r="AC23">
            <v>30.2</v>
          </cell>
          <cell r="AD23">
            <v>30.2</v>
          </cell>
        </row>
        <row r="24">
          <cell r="A24" t="str">
            <v>1</v>
          </cell>
          <cell r="O24">
            <v>20</v>
          </cell>
          <cell r="S24">
            <v>20</v>
          </cell>
          <cell r="T24">
            <v>20</v>
          </cell>
          <cell r="U24">
            <v>20</v>
          </cell>
          <cell r="V24">
            <v>1</v>
          </cell>
          <cell r="W24">
            <v>0</v>
          </cell>
          <cell r="Y24">
            <v>20</v>
          </cell>
          <cell r="Z24">
            <v>20</v>
          </cell>
          <cell r="AA24">
            <v>20</v>
          </cell>
          <cell r="AB24">
            <v>20</v>
          </cell>
          <cell r="AC24">
            <v>20</v>
          </cell>
          <cell r="AD24">
            <v>20</v>
          </cell>
        </row>
        <row r="25">
          <cell r="A25" t="str">
            <v>1</v>
          </cell>
        </row>
        <row r="26">
          <cell r="A26" t="str">
            <v>1</v>
          </cell>
          <cell r="O26">
            <v>246</v>
          </cell>
          <cell r="S26">
            <v>283</v>
          </cell>
          <cell r="T26">
            <v>326</v>
          </cell>
          <cell r="U26">
            <v>326</v>
          </cell>
          <cell r="V26">
            <v>1.1519434628975265</v>
          </cell>
          <cell r="W26">
            <v>0</v>
          </cell>
          <cell r="Y26">
            <v>371</v>
          </cell>
          <cell r="Z26">
            <v>371</v>
          </cell>
          <cell r="AA26">
            <v>423</v>
          </cell>
          <cell r="AB26">
            <v>423</v>
          </cell>
          <cell r="AC26">
            <v>482</v>
          </cell>
          <cell r="AD26">
            <v>482</v>
          </cell>
        </row>
        <row r="27">
          <cell r="A27" t="str">
            <v>1</v>
          </cell>
          <cell r="O27">
            <v>1183</v>
          </cell>
          <cell r="S27">
            <v>0</v>
          </cell>
          <cell r="T27">
            <v>1562</v>
          </cell>
          <cell r="U27">
            <v>0</v>
          </cell>
          <cell r="V27">
            <v>0</v>
          </cell>
          <cell r="W27">
            <v>-1562</v>
          </cell>
          <cell r="Y27">
            <v>1780</v>
          </cell>
          <cell r="Z27">
            <v>0</v>
          </cell>
          <cell r="AA27">
            <v>2027</v>
          </cell>
          <cell r="AB27">
            <v>0</v>
          </cell>
          <cell r="AC27">
            <v>2309</v>
          </cell>
          <cell r="AD27">
            <v>0</v>
          </cell>
        </row>
        <row r="28">
          <cell r="A28" t="str">
            <v>1</v>
          </cell>
          <cell r="O28">
            <v>246</v>
          </cell>
          <cell r="S28">
            <v>283</v>
          </cell>
          <cell r="T28">
            <v>326</v>
          </cell>
          <cell r="U28">
            <v>326</v>
          </cell>
          <cell r="V28">
            <v>1.1519434628975265</v>
          </cell>
          <cell r="W28">
            <v>0</v>
          </cell>
          <cell r="Y28">
            <v>371</v>
          </cell>
          <cell r="Z28">
            <v>371</v>
          </cell>
          <cell r="AA28">
            <v>423</v>
          </cell>
          <cell r="AB28">
            <v>423</v>
          </cell>
          <cell r="AC28">
            <v>482</v>
          </cell>
          <cell r="AD28">
            <v>482</v>
          </cell>
        </row>
        <row r="29">
          <cell r="A29" t="str">
            <v>1</v>
          </cell>
          <cell r="O29">
            <v>993</v>
          </cell>
          <cell r="S29">
            <v>0</v>
          </cell>
          <cell r="T29">
            <v>1311</v>
          </cell>
          <cell r="U29">
            <v>0</v>
          </cell>
          <cell r="V29">
            <v>0</v>
          </cell>
          <cell r="W29">
            <v>-1311</v>
          </cell>
          <cell r="Y29">
            <v>1494</v>
          </cell>
          <cell r="Z29">
            <v>0</v>
          </cell>
          <cell r="AA29">
            <v>1702</v>
          </cell>
          <cell r="AB29">
            <v>0</v>
          </cell>
          <cell r="AC29">
            <v>1939</v>
          </cell>
          <cell r="AD29">
            <v>0</v>
          </cell>
        </row>
        <row r="30">
          <cell r="A30" t="str">
            <v>1</v>
          </cell>
          <cell r="O30">
            <v>2.2000000000000002</v>
          </cell>
          <cell r="P30">
            <v>2.2000000000000002</v>
          </cell>
          <cell r="S30">
            <v>2.2000000000000002</v>
          </cell>
          <cell r="T30">
            <v>2.2000000000000002</v>
          </cell>
          <cell r="U30">
            <v>2.2000000000000002</v>
          </cell>
          <cell r="V30">
            <v>1</v>
          </cell>
          <cell r="W30">
            <v>0</v>
          </cell>
          <cell r="Y30">
            <v>2.2000000000000002</v>
          </cell>
          <cell r="Z30">
            <v>2.2000000000000002</v>
          </cell>
          <cell r="AA30">
            <v>2.2000000000000002</v>
          </cell>
          <cell r="AB30">
            <v>2.2000000000000002</v>
          </cell>
          <cell r="AC30">
            <v>2.2000000000000002</v>
          </cell>
          <cell r="AD30">
            <v>2.2000000000000002</v>
          </cell>
        </row>
        <row r="31">
          <cell r="A31" t="str">
            <v>1</v>
          </cell>
          <cell r="S31">
            <v>150000</v>
          </cell>
          <cell r="T31">
            <v>10000</v>
          </cell>
          <cell r="U31">
            <v>150000</v>
          </cell>
          <cell r="V31">
            <v>1</v>
          </cell>
          <cell r="W31">
            <v>140000</v>
          </cell>
          <cell r="Y31">
            <v>10000</v>
          </cell>
          <cell r="Z31">
            <v>150000</v>
          </cell>
          <cell r="AA31">
            <v>10000</v>
          </cell>
          <cell r="AB31">
            <v>150000</v>
          </cell>
          <cell r="AC31">
            <v>10000</v>
          </cell>
          <cell r="AD31">
            <v>150000</v>
          </cell>
        </row>
        <row r="32">
          <cell r="A32" t="str">
            <v>1</v>
          </cell>
          <cell r="V32">
            <v>0</v>
          </cell>
          <cell r="W32">
            <v>0</v>
          </cell>
        </row>
        <row r="33">
          <cell r="A33" t="str">
            <v>1</v>
          </cell>
          <cell r="S33">
            <v>0</v>
          </cell>
          <cell r="V33">
            <v>0</v>
          </cell>
          <cell r="W33">
            <v>0</v>
          </cell>
        </row>
        <row r="34">
          <cell r="A34" t="str">
            <v>2</v>
          </cell>
        </row>
        <row r="35">
          <cell r="A35" t="str">
            <v>2</v>
          </cell>
          <cell r="B35" t="str">
            <v>ИОР</v>
          </cell>
          <cell r="S35">
            <v>1.0469999999999999</v>
          </cell>
          <cell r="T35">
            <v>1.042</v>
          </cell>
          <cell r="U35">
            <v>1.04</v>
          </cell>
          <cell r="Y35">
            <v>1.04</v>
          </cell>
          <cell r="Z35">
            <v>1.04</v>
          </cell>
          <cell r="AA35">
            <v>1.04</v>
          </cell>
          <cell r="AB35">
            <v>1.04</v>
          </cell>
          <cell r="AC35">
            <v>1.04</v>
          </cell>
          <cell r="AD35">
            <v>1.04</v>
          </cell>
          <cell r="AE35">
            <v>1</v>
          </cell>
          <cell r="AF35">
            <v>1</v>
          </cell>
          <cell r="AG35">
            <v>1</v>
          </cell>
          <cell r="AH35">
            <v>1</v>
          </cell>
          <cell r="AI35">
            <v>1</v>
          </cell>
          <cell r="AJ35">
            <v>1</v>
          </cell>
          <cell r="AK35">
            <v>1</v>
          </cell>
          <cell r="AL35">
            <v>1</v>
          </cell>
          <cell r="AM35">
            <v>1</v>
          </cell>
          <cell r="AN35">
            <v>1</v>
          </cell>
          <cell r="AO35">
            <v>1</v>
          </cell>
          <cell r="AP35">
            <v>1</v>
          </cell>
        </row>
        <row r="36">
          <cell r="A36" t="str">
            <v>2</v>
          </cell>
          <cell r="B36" t="str">
            <v>ИЭР</v>
          </cell>
          <cell r="O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</row>
        <row r="37">
          <cell r="A37" t="str">
            <v>2</v>
          </cell>
          <cell r="B37" t="str">
            <v>ИПЦ</v>
          </cell>
          <cell r="O37">
            <v>6</v>
          </cell>
          <cell r="S37">
            <v>4.7</v>
          </cell>
          <cell r="T37">
            <v>4.2</v>
          </cell>
          <cell r="U37">
            <v>4</v>
          </cell>
          <cell r="V37">
            <v>0.85106382978723405</v>
          </cell>
          <cell r="W37">
            <v>-0.20000000000000018</v>
          </cell>
          <cell r="Y37">
            <v>4</v>
          </cell>
          <cell r="Z37">
            <v>4</v>
          </cell>
          <cell r="AA37">
            <v>4</v>
          </cell>
          <cell r="AB37">
            <v>4</v>
          </cell>
          <cell r="AC37">
            <v>4</v>
          </cell>
          <cell r="AD37">
            <v>4</v>
          </cell>
        </row>
        <row r="38">
          <cell r="A38" t="str">
            <v>2</v>
          </cell>
          <cell r="O38">
            <v>9</v>
          </cell>
          <cell r="S38">
            <v>6</v>
          </cell>
          <cell r="T38">
            <v>7.5</v>
          </cell>
          <cell r="U38">
            <v>5</v>
          </cell>
          <cell r="V38">
            <v>0.83333333333333337</v>
          </cell>
          <cell r="W38">
            <v>-2.5</v>
          </cell>
          <cell r="Y38">
            <v>5</v>
          </cell>
          <cell r="Z38">
            <v>5</v>
          </cell>
          <cell r="AA38">
            <v>5</v>
          </cell>
          <cell r="AB38">
            <v>5</v>
          </cell>
          <cell r="AC38">
            <v>5</v>
          </cell>
          <cell r="AD38">
            <v>5</v>
          </cell>
        </row>
        <row r="39">
          <cell r="A39" t="str">
            <v>2</v>
          </cell>
          <cell r="B39" t="str">
            <v>ИКА</v>
          </cell>
          <cell r="O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</row>
        <row r="40">
          <cell r="A40" t="str">
            <v>2</v>
          </cell>
        </row>
        <row r="41">
          <cell r="A41" t="str">
            <v>2</v>
          </cell>
          <cell r="B41" t="str">
            <v>СВФОТ</v>
          </cell>
          <cell r="O41">
            <v>30.2</v>
          </cell>
          <cell r="P41">
            <v>30.2</v>
          </cell>
          <cell r="S41">
            <v>30.2</v>
          </cell>
          <cell r="T41">
            <v>30.2</v>
          </cell>
          <cell r="U41">
            <v>30.2</v>
          </cell>
          <cell r="V41">
            <v>1</v>
          </cell>
          <cell r="W41">
            <v>0</v>
          </cell>
          <cell r="Y41">
            <v>30.2</v>
          </cell>
          <cell r="Z41">
            <v>30.2</v>
          </cell>
          <cell r="AA41">
            <v>30.2</v>
          </cell>
          <cell r="AB41">
            <v>30.2</v>
          </cell>
          <cell r="AC41">
            <v>30.2</v>
          </cell>
          <cell r="AD41">
            <v>30.2</v>
          </cell>
        </row>
        <row r="42">
          <cell r="A42" t="str">
            <v>2</v>
          </cell>
          <cell r="O42">
            <v>20</v>
          </cell>
          <cell r="S42">
            <v>20</v>
          </cell>
          <cell r="T42">
            <v>20</v>
          </cell>
          <cell r="U42">
            <v>20</v>
          </cell>
          <cell r="V42">
            <v>1</v>
          </cell>
          <cell r="W42">
            <v>0</v>
          </cell>
          <cell r="Y42">
            <v>20</v>
          </cell>
          <cell r="Z42">
            <v>20</v>
          </cell>
          <cell r="AA42">
            <v>20</v>
          </cell>
          <cell r="AB42">
            <v>20</v>
          </cell>
          <cell r="AC42">
            <v>20</v>
          </cell>
          <cell r="AD42">
            <v>20</v>
          </cell>
        </row>
        <row r="43">
          <cell r="A43" t="str">
            <v>2</v>
          </cell>
        </row>
        <row r="44">
          <cell r="A44" t="str">
            <v>2</v>
          </cell>
          <cell r="V44">
            <v>0</v>
          </cell>
          <cell r="W44">
            <v>0</v>
          </cell>
        </row>
        <row r="45">
          <cell r="A45" t="str">
            <v>2</v>
          </cell>
          <cell r="V45">
            <v>0</v>
          </cell>
          <cell r="W45">
            <v>0</v>
          </cell>
        </row>
        <row r="46">
          <cell r="A46" t="str">
            <v>2</v>
          </cell>
          <cell r="V46">
            <v>0</v>
          </cell>
          <cell r="W46">
            <v>0</v>
          </cell>
        </row>
        <row r="47">
          <cell r="A47" t="str">
            <v>2</v>
          </cell>
          <cell r="V47">
            <v>0</v>
          </cell>
          <cell r="W47">
            <v>0</v>
          </cell>
        </row>
        <row r="48">
          <cell r="A48" t="str">
            <v>2</v>
          </cell>
          <cell r="O48">
            <v>2.2000000000000002</v>
          </cell>
          <cell r="P48">
            <v>2.2000000000000002</v>
          </cell>
          <cell r="S48">
            <v>2.2000000000000002</v>
          </cell>
          <cell r="T48">
            <v>2.2000000000000002</v>
          </cell>
          <cell r="U48">
            <v>2.2000000000000002</v>
          </cell>
          <cell r="V48">
            <v>1</v>
          </cell>
          <cell r="W48">
            <v>0</v>
          </cell>
          <cell r="Y48">
            <v>2.2000000000000002</v>
          </cell>
          <cell r="Z48">
            <v>2.2000000000000002</v>
          </cell>
          <cell r="AA48">
            <v>2.2000000000000002</v>
          </cell>
          <cell r="AB48">
            <v>2.2000000000000002</v>
          </cell>
          <cell r="AC48">
            <v>2.2000000000000002</v>
          </cell>
          <cell r="AD48">
            <v>2.2000000000000002</v>
          </cell>
        </row>
        <row r="49">
          <cell r="A49" t="str">
            <v>2</v>
          </cell>
          <cell r="S49">
            <v>15</v>
          </cell>
          <cell r="T49">
            <v>1</v>
          </cell>
          <cell r="U49">
            <v>15</v>
          </cell>
          <cell r="V49">
            <v>1</v>
          </cell>
          <cell r="W49">
            <v>14</v>
          </cell>
          <cell r="Y49">
            <v>1</v>
          </cell>
          <cell r="Z49">
            <v>15</v>
          </cell>
          <cell r="AA49">
            <v>1</v>
          </cell>
          <cell r="AB49">
            <v>15</v>
          </cell>
          <cell r="AC49">
            <v>1</v>
          </cell>
          <cell r="AD49">
            <v>15</v>
          </cell>
        </row>
        <row r="50">
          <cell r="A50" t="str">
            <v>2</v>
          </cell>
          <cell r="V50">
            <v>0</v>
          </cell>
          <cell r="W50">
            <v>0</v>
          </cell>
        </row>
        <row r="51">
          <cell r="A51" t="str">
            <v>2</v>
          </cell>
          <cell r="S51">
            <v>0</v>
          </cell>
          <cell r="V51">
            <v>0</v>
          </cell>
          <cell r="W51">
            <v>0</v>
          </cell>
        </row>
        <row r="52">
          <cell r="A52" t="str">
            <v>t</v>
          </cell>
        </row>
      </sheetData>
      <sheetData sheetId="17">
        <row r="16">
          <cell r="O16" t="str">
            <v>Принято органом регулирования</v>
          </cell>
          <cell r="P16" t="str">
            <v>Факт по данным организации</v>
          </cell>
          <cell r="Q16" t="str">
            <v>Факт, принятый органом регулирования</v>
          </cell>
          <cell r="R16" t="str">
            <v>Принято органом регулирования</v>
          </cell>
          <cell r="S16" t="str">
            <v>Предложение организации</v>
          </cell>
          <cell r="T16" t="str">
            <v>Предложение организации</v>
          </cell>
          <cell r="U16" t="str">
            <v>Предложение организации</v>
          </cell>
          <cell r="V16" t="str">
            <v>Предложение организации</v>
          </cell>
          <cell r="W16" t="str">
            <v>Предложение организации</v>
          </cell>
          <cell r="X16" t="str">
            <v>Предложение организации</v>
          </cell>
          <cell r="Y16" t="str">
            <v>Предложение организации</v>
          </cell>
          <cell r="Z16" t="str">
            <v>Предложение организации</v>
          </cell>
          <cell r="AA16" t="str">
            <v>Предложение организации</v>
          </cell>
          <cell r="AB16" t="str">
            <v>Предложение организации</v>
          </cell>
          <cell r="AC16" t="str">
            <v>Принято органом регулирования</v>
          </cell>
          <cell r="AD16" t="str">
            <v>Принято органом регулирования</v>
          </cell>
          <cell r="AE16" t="str">
            <v>Принято органом регулирования</v>
          </cell>
          <cell r="AF16" t="str">
            <v>Принято органом регулирования</v>
          </cell>
          <cell r="AG16" t="str">
            <v>Принято органом регулирования</v>
          </cell>
          <cell r="AH16" t="str">
            <v>Принято органом регулирования</v>
          </cell>
          <cell r="AI16" t="str">
            <v>Принято органом регулирования</v>
          </cell>
          <cell r="AJ16" t="str">
            <v>Принято органом регулирования</v>
          </cell>
          <cell r="AK16" t="str">
            <v>Принято органом регулирования</v>
          </cell>
          <cell r="AL16" t="str">
            <v>Принято органом регулирования</v>
          </cell>
        </row>
        <row r="17">
          <cell r="A17" t="str">
            <v>1</v>
          </cell>
        </row>
        <row r="18">
          <cell r="A18" t="str">
            <v>1</v>
          </cell>
          <cell r="O18" t="str">
            <v>питьевая вода</v>
          </cell>
        </row>
        <row r="19">
          <cell r="A19" t="str">
            <v>1</v>
          </cell>
          <cell r="O19">
            <v>14.103881278499999</v>
          </cell>
          <cell r="P19">
            <v>14.787785388127855</v>
          </cell>
          <cell r="R19">
            <v>13.294520547899999</v>
          </cell>
          <cell r="S19">
            <v>13.295</v>
          </cell>
          <cell r="T19">
            <v>14.570545343399999</v>
          </cell>
          <cell r="U19">
            <v>14.570545343399999</v>
          </cell>
          <cell r="V19">
            <v>14.570545343399999</v>
          </cell>
          <cell r="AC19">
            <v>13.294520547899999</v>
          </cell>
          <cell r="AD19">
            <v>13.294520547899999</v>
          </cell>
          <cell r="AE19">
            <v>13.294520547899999</v>
          </cell>
          <cell r="AF19">
            <v>13.294520547899999</v>
          </cell>
        </row>
        <row r="20">
          <cell r="A20" t="str">
            <v>1</v>
          </cell>
          <cell r="O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</row>
        <row r="21">
          <cell r="A21" t="str">
            <v>1</v>
          </cell>
          <cell r="O21">
            <v>123.55</v>
          </cell>
          <cell r="P21">
            <v>129.541</v>
          </cell>
          <cell r="Q21">
            <v>113.08600000000001</v>
          </cell>
          <cell r="R21">
            <v>116.46</v>
          </cell>
          <cell r="S21">
            <v>116.46</v>
          </cell>
          <cell r="T21">
            <v>127.63797720800001</v>
          </cell>
          <cell r="U21">
            <v>127.63797720800001</v>
          </cell>
          <cell r="V21">
            <v>127.63797720800001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116.46</v>
          </cell>
          <cell r="AD21">
            <v>116.46</v>
          </cell>
          <cell r="AE21">
            <v>116.46</v>
          </cell>
          <cell r="AF21">
            <v>116.46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</row>
        <row r="22">
          <cell r="A22" t="str">
            <v>1</v>
          </cell>
          <cell r="O22">
            <v>0</v>
          </cell>
          <cell r="T22">
            <v>0</v>
          </cell>
          <cell r="U22">
            <v>0</v>
          </cell>
          <cell r="V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</row>
        <row r="23">
          <cell r="A23" t="str">
            <v>1</v>
          </cell>
          <cell r="O23">
            <v>123.55</v>
          </cell>
          <cell r="P23">
            <v>129.541</v>
          </cell>
          <cell r="Q23">
            <v>113.08600000000001</v>
          </cell>
          <cell r="R23">
            <v>116.46</v>
          </cell>
          <cell r="S23">
            <v>116.46</v>
          </cell>
          <cell r="T23">
            <v>127.637977208</v>
          </cell>
          <cell r="U23">
            <v>127.637977208</v>
          </cell>
          <cell r="V23">
            <v>127.637977208</v>
          </cell>
          <cell r="AC23">
            <v>116.46</v>
          </cell>
          <cell r="AD23">
            <v>116.46</v>
          </cell>
          <cell r="AE23">
            <v>116.46</v>
          </cell>
          <cell r="AF23">
            <v>116.46</v>
          </cell>
        </row>
        <row r="24">
          <cell r="A24" t="str">
            <v>1</v>
          </cell>
          <cell r="O24">
            <v>0</v>
          </cell>
          <cell r="T24">
            <v>0</v>
          </cell>
          <cell r="U24">
            <v>0</v>
          </cell>
          <cell r="V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</row>
        <row r="25">
          <cell r="A25" t="str">
            <v>1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0.54</v>
          </cell>
          <cell r="U25">
            <v>0.54</v>
          </cell>
          <cell r="V25">
            <v>0.54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</row>
        <row r="26">
          <cell r="A26" t="str">
            <v>1</v>
          </cell>
          <cell r="O26">
            <v>0</v>
          </cell>
          <cell r="T26">
            <v>0.54</v>
          </cell>
          <cell r="U26">
            <v>0.54</v>
          </cell>
          <cell r="V26">
            <v>0.54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</row>
        <row r="27">
          <cell r="A27" t="str">
            <v>1</v>
          </cell>
          <cell r="O27">
            <v>0</v>
          </cell>
          <cell r="T27">
            <v>0</v>
          </cell>
          <cell r="U27">
            <v>0</v>
          </cell>
          <cell r="V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</row>
        <row r="28">
          <cell r="A28" t="str">
            <v>1</v>
          </cell>
          <cell r="O28">
            <v>0</v>
          </cell>
          <cell r="R28">
            <v>0</v>
          </cell>
          <cell r="T28">
            <v>0</v>
          </cell>
          <cell r="U28">
            <v>0</v>
          </cell>
          <cell r="V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</row>
        <row r="29">
          <cell r="A29" t="str">
            <v>1</v>
          </cell>
        </row>
        <row r="30">
          <cell r="A30" t="str">
            <v>1</v>
          </cell>
          <cell r="O30">
            <v>123.55</v>
          </cell>
          <cell r="P30">
            <v>129.541</v>
          </cell>
          <cell r="Q30">
            <v>113.08600000000001</v>
          </cell>
          <cell r="R30">
            <v>116.46</v>
          </cell>
          <cell r="S30">
            <v>116.46</v>
          </cell>
          <cell r="T30">
            <v>127.097977208</v>
          </cell>
          <cell r="U30">
            <v>127.097977208</v>
          </cell>
          <cell r="V30">
            <v>127.097977208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116.46</v>
          </cell>
          <cell r="AD30">
            <v>116.46</v>
          </cell>
          <cell r="AE30">
            <v>116.46</v>
          </cell>
          <cell r="AF30">
            <v>116.46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</row>
        <row r="31">
          <cell r="A31" t="str">
            <v>1</v>
          </cell>
          <cell r="O31">
            <v>123.55</v>
          </cell>
          <cell r="P31">
            <v>129.541</v>
          </cell>
          <cell r="Q31">
            <v>113.08600000000001</v>
          </cell>
          <cell r="R31">
            <v>116.46</v>
          </cell>
          <cell r="S31">
            <v>116.46</v>
          </cell>
          <cell r="T31">
            <v>127.097977208</v>
          </cell>
          <cell r="U31">
            <v>127.097977208</v>
          </cell>
          <cell r="V31">
            <v>127.097977208</v>
          </cell>
          <cell r="AC31">
            <v>116.46</v>
          </cell>
          <cell r="AD31">
            <v>116.46</v>
          </cell>
          <cell r="AE31">
            <v>116.46</v>
          </cell>
          <cell r="AF31">
            <v>116.46</v>
          </cell>
        </row>
        <row r="32">
          <cell r="A32" t="str">
            <v>1</v>
          </cell>
          <cell r="O32">
            <v>0</v>
          </cell>
          <cell r="R32">
            <v>0</v>
          </cell>
          <cell r="T32">
            <v>0</v>
          </cell>
          <cell r="U32">
            <v>0</v>
          </cell>
          <cell r="V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</row>
        <row r="33">
          <cell r="A33" t="str">
            <v>1</v>
          </cell>
        </row>
        <row r="34">
          <cell r="A34" t="str">
            <v>1</v>
          </cell>
          <cell r="O34">
            <v>0</v>
          </cell>
          <cell r="P34">
            <v>16.454999999999998</v>
          </cell>
          <cell r="Q34">
            <v>0</v>
          </cell>
          <cell r="R34">
            <v>9.41</v>
          </cell>
          <cell r="S34">
            <v>9.41</v>
          </cell>
          <cell r="T34">
            <v>20.047977207999999</v>
          </cell>
          <cell r="U34">
            <v>20.047977207999999</v>
          </cell>
          <cell r="V34">
            <v>20.047977207999999</v>
          </cell>
          <cell r="AC34">
            <v>9.41</v>
          </cell>
          <cell r="AD34">
            <v>9.41</v>
          </cell>
          <cell r="AE34">
            <v>9.41</v>
          </cell>
          <cell r="AF34">
            <v>9.41</v>
          </cell>
        </row>
        <row r="35">
          <cell r="A35" t="str">
            <v>1</v>
          </cell>
          <cell r="O35">
            <v>0</v>
          </cell>
          <cell r="P35">
            <v>12.702542052323201</v>
          </cell>
          <cell r="Q35">
            <v>0</v>
          </cell>
          <cell r="R35">
            <v>8.080027477245407</v>
          </cell>
          <cell r="S35">
            <v>8.080027477245407</v>
          </cell>
          <cell r="T35">
            <v>15.773639870909062</v>
          </cell>
          <cell r="U35">
            <v>15.773639870909062</v>
          </cell>
          <cell r="V35">
            <v>15.773639870909062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8.080027477245407</v>
          </cell>
          <cell r="AD35">
            <v>8.080027477245407</v>
          </cell>
          <cell r="AE35">
            <v>8.080027477245407</v>
          </cell>
          <cell r="AF35">
            <v>8.080027477245407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</row>
        <row r="36">
          <cell r="A36" t="str">
            <v>1</v>
          </cell>
          <cell r="O36">
            <v>123.55</v>
          </cell>
          <cell r="P36">
            <v>113.08600000000001</v>
          </cell>
          <cell r="Q36">
            <v>113.08600000000001</v>
          </cell>
          <cell r="R36">
            <v>107.05</v>
          </cell>
          <cell r="S36">
            <v>107.05</v>
          </cell>
          <cell r="T36">
            <v>107.05</v>
          </cell>
          <cell r="U36">
            <v>107.05</v>
          </cell>
          <cell r="V36">
            <v>107.05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107.05</v>
          </cell>
          <cell r="AD36">
            <v>107.05</v>
          </cell>
          <cell r="AE36">
            <v>107.05</v>
          </cell>
          <cell r="AF36">
            <v>107.05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</row>
        <row r="37">
          <cell r="A37" t="str">
            <v>1</v>
          </cell>
          <cell r="B37" t="str">
            <v>ПО</v>
          </cell>
          <cell r="O37">
            <v>0</v>
          </cell>
          <cell r="P37">
            <v>0.69699999999999995</v>
          </cell>
          <cell r="Q37">
            <v>0.69699999999999995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</row>
        <row r="38">
          <cell r="A38" t="str">
            <v>1</v>
          </cell>
          <cell r="O38">
            <v>0</v>
          </cell>
          <cell r="T38">
            <v>0</v>
          </cell>
          <cell r="U38">
            <v>0</v>
          </cell>
          <cell r="V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</row>
        <row r="39">
          <cell r="A39" t="str">
            <v>1</v>
          </cell>
          <cell r="O39">
            <v>0</v>
          </cell>
          <cell r="P39">
            <v>0.69699999999999995</v>
          </cell>
          <cell r="Q39">
            <v>0.69699999999999995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</row>
        <row r="40">
          <cell r="A40" t="str">
            <v>1</v>
          </cell>
          <cell r="O40">
            <v>0</v>
          </cell>
          <cell r="T40">
            <v>0</v>
          </cell>
          <cell r="U40">
            <v>0</v>
          </cell>
          <cell r="V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</row>
        <row r="41">
          <cell r="A41" t="str">
            <v>1</v>
          </cell>
          <cell r="B41" t="str">
            <v>ПО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</row>
        <row r="42">
          <cell r="A42" t="str">
            <v>1</v>
          </cell>
          <cell r="O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</row>
        <row r="43">
          <cell r="A43" t="str">
            <v>1</v>
          </cell>
          <cell r="O43">
            <v>0</v>
          </cell>
        </row>
        <row r="44">
          <cell r="A44" t="str">
            <v>1</v>
          </cell>
          <cell r="B44" t="str">
            <v>ПО</v>
          </cell>
          <cell r="O44">
            <v>123.55</v>
          </cell>
          <cell r="P44">
            <v>112.38900000000001</v>
          </cell>
          <cell r="Q44">
            <v>112.38900000000001</v>
          </cell>
          <cell r="R44">
            <v>107.05</v>
          </cell>
          <cell r="S44">
            <v>107.05</v>
          </cell>
          <cell r="T44">
            <v>107.05</v>
          </cell>
          <cell r="U44">
            <v>107.05</v>
          </cell>
          <cell r="V44">
            <v>107.05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107.05</v>
          </cell>
          <cell r="AD44">
            <v>107.05</v>
          </cell>
          <cell r="AE44">
            <v>107.05</v>
          </cell>
          <cell r="AF44">
            <v>107.05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</row>
        <row r="45">
          <cell r="A45" t="str">
            <v>1</v>
          </cell>
          <cell r="O45">
            <v>23.8</v>
          </cell>
          <cell r="P45">
            <v>7.5360000000000005</v>
          </cell>
          <cell r="Q45">
            <v>7.5360000000000005</v>
          </cell>
          <cell r="R45">
            <v>8.26</v>
          </cell>
          <cell r="S45">
            <v>8.26</v>
          </cell>
          <cell r="T45">
            <v>8.26</v>
          </cell>
          <cell r="U45">
            <v>8.26</v>
          </cell>
          <cell r="V45">
            <v>8.26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8.26</v>
          </cell>
          <cell r="AD45">
            <v>8.26</v>
          </cell>
          <cell r="AE45">
            <v>8.26</v>
          </cell>
          <cell r="AF45">
            <v>8.26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</row>
        <row r="46">
          <cell r="A46" t="str">
            <v>1</v>
          </cell>
          <cell r="O46">
            <v>0</v>
          </cell>
          <cell r="P46">
            <v>4.4480000000000004</v>
          </cell>
          <cell r="Q46">
            <v>4.4480000000000004</v>
          </cell>
          <cell r="R46">
            <v>3.0289999999999999</v>
          </cell>
          <cell r="S46">
            <v>3.0289999999999999</v>
          </cell>
          <cell r="T46">
            <v>3.0289999999999999</v>
          </cell>
          <cell r="U46">
            <v>3.0289999999999999</v>
          </cell>
          <cell r="V46">
            <v>3.0289999999999999</v>
          </cell>
          <cell r="AC46">
            <v>3.0289999999999999</v>
          </cell>
          <cell r="AD46">
            <v>3.0289999999999999</v>
          </cell>
          <cell r="AE46">
            <v>3.0289999999999999</v>
          </cell>
          <cell r="AF46">
            <v>3.0289999999999999</v>
          </cell>
        </row>
        <row r="47">
          <cell r="A47" t="str">
            <v>1</v>
          </cell>
          <cell r="O47">
            <v>23.8</v>
          </cell>
          <cell r="P47">
            <v>3.0880000000000001</v>
          </cell>
          <cell r="Q47">
            <v>3.0880000000000001</v>
          </cell>
          <cell r="R47">
            <v>5.2309999999999999</v>
          </cell>
          <cell r="S47">
            <v>5.2309999999999999</v>
          </cell>
          <cell r="T47">
            <v>5.2309999999999999</v>
          </cell>
          <cell r="U47">
            <v>5.2309999999999999</v>
          </cell>
          <cell r="V47">
            <v>5.2309999999999999</v>
          </cell>
          <cell r="AC47">
            <v>5.2309999999999999</v>
          </cell>
          <cell r="AD47">
            <v>5.2309999999999999</v>
          </cell>
          <cell r="AE47">
            <v>5.2309999999999999</v>
          </cell>
          <cell r="AF47">
            <v>5.2309999999999999</v>
          </cell>
        </row>
        <row r="48">
          <cell r="A48" t="str">
            <v>1</v>
          </cell>
          <cell r="B48" t="str">
            <v>население</v>
          </cell>
          <cell r="O48">
            <v>91.23</v>
          </cell>
          <cell r="P48">
            <v>101.39500000000001</v>
          </cell>
          <cell r="Q48">
            <v>101.39500000000001</v>
          </cell>
          <cell r="R48">
            <v>83.71</v>
          </cell>
          <cell r="S48">
            <v>83.71</v>
          </cell>
          <cell r="T48">
            <v>83.71</v>
          </cell>
          <cell r="U48">
            <v>83.71</v>
          </cell>
          <cell r="V48">
            <v>83.71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83.71</v>
          </cell>
          <cell r="AD48">
            <v>83.71</v>
          </cell>
          <cell r="AE48">
            <v>83.71</v>
          </cell>
          <cell r="AF48">
            <v>83.71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</row>
        <row r="49">
          <cell r="A49" t="str">
            <v>1</v>
          </cell>
          <cell r="O49">
            <v>91.23</v>
          </cell>
          <cell r="P49">
            <v>85.796000000000006</v>
          </cell>
          <cell r="Q49">
            <v>85.796000000000006</v>
          </cell>
          <cell r="R49">
            <v>83.71</v>
          </cell>
          <cell r="S49">
            <v>83.71</v>
          </cell>
          <cell r="T49">
            <v>83.71</v>
          </cell>
          <cell r="U49">
            <v>83.71</v>
          </cell>
          <cell r="V49">
            <v>83.71</v>
          </cell>
          <cell r="AC49">
            <v>83.71</v>
          </cell>
          <cell r="AD49">
            <v>83.71</v>
          </cell>
          <cell r="AE49">
            <v>83.71</v>
          </cell>
          <cell r="AF49">
            <v>83.71</v>
          </cell>
        </row>
        <row r="50">
          <cell r="A50" t="str">
            <v>1</v>
          </cell>
          <cell r="P50">
            <v>15.599</v>
          </cell>
          <cell r="Q50">
            <v>15.599</v>
          </cell>
          <cell r="S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</row>
        <row r="51">
          <cell r="A51" t="str">
            <v>1</v>
          </cell>
          <cell r="O51">
            <v>8.52</v>
          </cell>
          <cell r="P51">
            <v>3.4579999999999997</v>
          </cell>
          <cell r="Q51">
            <v>3.4579999999999997</v>
          </cell>
          <cell r="R51">
            <v>15.08</v>
          </cell>
          <cell r="S51">
            <v>15.08</v>
          </cell>
          <cell r="T51">
            <v>15.08</v>
          </cell>
          <cell r="U51">
            <v>15.08</v>
          </cell>
          <cell r="V51">
            <v>15.08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15.08</v>
          </cell>
          <cell r="AD51">
            <v>15.08</v>
          </cell>
          <cell r="AE51">
            <v>15.08</v>
          </cell>
          <cell r="AF51">
            <v>15.08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</row>
        <row r="52">
          <cell r="A52" t="str">
            <v>1</v>
          </cell>
          <cell r="O52">
            <v>8.52</v>
          </cell>
          <cell r="P52">
            <v>3.4369999999999998</v>
          </cell>
          <cell r="Q52">
            <v>3.4369999999999998</v>
          </cell>
          <cell r="R52">
            <v>13.993</v>
          </cell>
          <cell r="S52">
            <v>13.993</v>
          </cell>
          <cell r="T52">
            <v>13.993</v>
          </cell>
          <cell r="U52">
            <v>13.993</v>
          </cell>
          <cell r="V52">
            <v>13.993</v>
          </cell>
          <cell r="AC52">
            <v>13.993</v>
          </cell>
          <cell r="AD52">
            <v>13.993</v>
          </cell>
          <cell r="AE52">
            <v>13.993</v>
          </cell>
          <cell r="AF52">
            <v>13.993</v>
          </cell>
        </row>
        <row r="53">
          <cell r="A53" t="str">
            <v>1</v>
          </cell>
          <cell r="O53">
            <v>0</v>
          </cell>
          <cell r="P53">
            <v>2.1000000000000001E-2</v>
          </cell>
          <cell r="Q53">
            <v>2.1000000000000001E-2</v>
          </cell>
          <cell r="R53">
            <v>1.087</v>
          </cell>
          <cell r="S53">
            <v>1.087</v>
          </cell>
          <cell r="T53">
            <v>1.087</v>
          </cell>
          <cell r="U53">
            <v>1.087</v>
          </cell>
          <cell r="V53">
            <v>1.087</v>
          </cell>
          <cell r="AC53">
            <v>1.087</v>
          </cell>
          <cell r="AD53">
            <v>1.087</v>
          </cell>
          <cell r="AE53">
            <v>1.087</v>
          </cell>
          <cell r="AF53">
            <v>1.087</v>
          </cell>
        </row>
        <row r="54">
          <cell r="A54" t="str">
            <v>1</v>
          </cell>
        </row>
        <row r="57">
          <cell r="O57" t="str">
            <v>2023 год</v>
          </cell>
          <cell r="P57" t="str">
            <v>2023 год</v>
          </cell>
          <cell r="Q57" t="str">
            <v>2023 год</v>
          </cell>
          <cell r="R57" t="str">
            <v>2024 год</v>
          </cell>
          <cell r="S57" t="str">
            <v>2025 год</v>
          </cell>
          <cell r="T57" t="str">
            <v>2026 год</v>
          </cell>
          <cell r="U57" t="str">
            <v>2027 год</v>
          </cell>
          <cell r="V57" t="str">
            <v>2028 год</v>
          </cell>
          <cell r="W57" t="str">
            <v>2029 год</v>
          </cell>
          <cell r="X57" t="str">
            <v>2030 год</v>
          </cell>
          <cell r="Y57" t="str">
            <v>2031 год</v>
          </cell>
          <cell r="Z57" t="str">
            <v>2032 год</v>
          </cell>
          <cell r="AA57" t="str">
            <v>2033 год</v>
          </cell>
          <cell r="AB57" t="str">
            <v>2034 год</v>
          </cell>
          <cell r="AC57" t="str">
            <v>2025 год</v>
          </cell>
          <cell r="AD57" t="str">
            <v>2026 год</v>
          </cell>
          <cell r="AE57" t="str">
            <v>2027 год</v>
          </cell>
          <cell r="AF57" t="str">
            <v>2028 год</v>
          </cell>
          <cell r="AG57" t="str">
            <v>2029 год</v>
          </cell>
          <cell r="AH57" t="str">
            <v>2030 год</v>
          </cell>
          <cell r="AI57" t="str">
            <v>2031 год</v>
          </cell>
          <cell r="AJ57" t="str">
            <v>2032 год</v>
          </cell>
          <cell r="AK57" t="str">
            <v>2033 год</v>
          </cell>
          <cell r="AL57" t="str">
            <v>2034 год</v>
          </cell>
        </row>
        <row r="58">
          <cell r="O58" t="str">
            <v>Принято органом регулирования</v>
          </cell>
          <cell r="P58" t="str">
            <v>Факт по данным организации</v>
          </cell>
          <cell r="Q58" t="str">
            <v>Факт, принятый органом регулирования</v>
          </cell>
          <cell r="R58" t="str">
            <v>Принято органом регулирования</v>
          </cell>
          <cell r="S58" t="str">
            <v>Предложение организации</v>
          </cell>
          <cell r="T58" t="str">
            <v>Предложение организации</v>
          </cell>
          <cell r="U58" t="str">
            <v>Предложение организации</v>
          </cell>
          <cell r="V58" t="str">
            <v>Предложение организации</v>
          </cell>
          <cell r="W58" t="str">
            <v>Предложение организации</v>
          </cell>
          <cell r="X58" t="str">
            <v>Предложение организации</v>
          </cell>
          <cell r="Y58" t="str">
            <v>Предложение организации</v>
          </cell>
          <cell r="Z58" t="str">
            <v>Предложение организации</v>
          </cell>
          <cell r="AA58" t="str">
            <v>Предложение организации</v>
          </cell>
          <cell r="AB58" t="str">
            <v>Предложение организации</v>
          </cell>
          <cell r="AC58" t="str">
            <v>Принято органом регулирования</v>
          </cell>
          <cell r="AD58" t="str">
            <v>Принято органом регулирования</v>
          </cell>
          <cell r="AE58" t="str">
            <v>Принято органом регулирования</v>
          </cell>
          <cell r="AF58" t="str">
            <v>Принято органом регулирования</v>
          </cell>
          <cell r="AG58" t="str">
            <v>Принято органом регулирования</v>
          </cell>
          <cell r="AH58" t="str">
            <v>Принято органом регулирования</v>
          </cell>
          <cell r="AI58" t="str">
            <v>Принято органом регулирования</v>
          </cell>
          <cell r="AJ58" t="str">
            <v>Принято органом регулирования</v>
          </cell>
          <cell r="AK58" t="str">
            <v>Принято органом регулирования</v>
          </cell>
          <cell r="AL58" t="str">
            <v>Принято органом регулирования</v>
          </cell>
        </row>
        <row r="61">
          <cell r="O61" t="str">
            <v>2023 год</v>
          </cell>
          <cell r="P61" t="str">
            <v>2023 год</v>
          </cell>
          <cell r="Q61" t="str">
            <v>2023 год</v>
          </cell>
          <cell r="R61" t="str">
            <v>2024 год</v>
          </cell>
          <cell r="S61" t="str">
            <v>2025 год</v>
          </cell>
          <cell r="T61" t="str">
            <v>2026 год</v>
          </cell>
          <cell r="U61" t="str">
            <v>2027 год</v>
          </cell>
          <cell r="V61" t="str">
            <v>2028 год</v>
          </cell>
          <cell r="W61" t="str">
            <v>2029 год</v>
          </cell>
          <cell r="X61" t="str">
            <v>2030 год</v>
          </cell>
          <cell r="Y61" t="str">
            <v>2031 год</v>
          </cell>
          <cell r="Z61" t="str">
            <v>2032 год</v>
          </cell>
          <cell r="AA61" t="str">
            <v>2033 год</v>
          </cell>
          <cell r="AB61" t="str">
            <v>2034 год</v>
          </cell>
          <cell r="AC61" t="str">
            <v>2025 год</v>
          </cell>
          <cell r="AD61" t="str">
            <v>2026 год</v>
          </cell>
          <cell r="AE61" t="str">
            <v>2027 год</v>
          </cell>
          <cell r="AF61" t="str">
            <v>2028 год</v>
          </cell>
          <cell r="AG61" t="str">
            <v>2029 год</v>
          </cell>
          <cell r="AH61" t="str">
            <v>2030 год</v>
          </cell>
          <cell r="AI61" t="str">
            <v>2031 год</v>
          </cell>
          <cell r="AJ61" t="str">
            <v>2032 год</v>
          </cell>
          <cell r="AK61" t="str">
            <v>2033 год</v>
          </cell>
          <cell r="AL61" t="str">
            <v>2034 год</v>
          </cell>
        </row>
        <row r="62">
          <cell r="O62" t="str">
            <v>Принято органом регулирования</v>
          </cell>
          <cell r="P62" t="str">
            <v>Факт по данным организации</v>
          </cell>
          <cell r="Q62" t="str">
            <v>Факт, принятый органом регулирования</v>
          </cell>
          <cell r="R62" t="str">
            <v>Принято органом регулирования</v>
          </cell>
          <cell r="S62" t="str">
            <v>Предложение организации</v>
          </cell>
          <cell r="T62" t="str">
            <v>Предложение организации</v>
          </cell>
          <cell r="U62" t="str">
            <v>Предложение организации</v>
          </cell>
          <cell r="V62" t="str">
            <v>Предложение организации</v>
          </cell>
          <cell r="W62" t="str">
            <v>Предложение организации</v>
          </cell>
          <cell r="X62" t="str">
            <v>Предложение организации</v>
          </cell>
          <cell r="Y62" t="str">
            <v>Предложение организации</v>
          </cell>
          <cell r="Z62" t="str">
            <v>Предложение организации</v>
          </cell>
          <cell r="AA62" t="str">
            <v>Предложение организации</v>
          </cell>
          <cell r="AB62" t="str">
            <v>Предложение организации</v>
          </cell>
          <cell r="AC62" t="str">
            <v>Принято органом регулирования</v>
          </cell>
          <cell r="AD62" t="str">
            <v>Принято органом регулирования</v>
          </cell>
          <cell r="AE62" t="str">
            <v>Принято органом регулирования</v>
          </cell>
          <cell r="AF62" t="str">
            <v>Принято органом регулирования</v>
          </cell>
          <cell r="AG62" t="str">
            <v>Принято органом регулирования</v>
          </cell>
          <cell r="AH62" t="str">
            <v>Принято органом регулирования</v>
          </cell>
          <cell r="AI62" t="str">
            <v>Принято органом регулирования</v>
          </cell>
          <cell r="AJ62" t="str">
            <v>Принято органом регулирования</v>
          </cell>
          <cell r="AK62" t="str">
            <v>Принято органом регулирования</v>
          </cell>
          <cell r="AL62" t="str">
            <v>Принято органом регулирования</v>
          </cell>
        </row>
        <row r="63">
          <cell r="A63" t="str">
            <v>2</v>
          </cell>
        </row>
        <row r="64">
          <cell r="A64" t="str">
            <v>2</v>
          </cell>
          <cell r="O64" t="str">
            <v>без дифференциации</v>
          </cell>
        </row>
        <row r="65">
          <cell r="A65" t="str">
            <v>2</v>
          </cell>
          <cell r="O65">
            <v>2.3630136986000001</v>
          </cell>
          <cell r="R65">
            <v>2.4565981735000002</v>
          </cell>
          <cell r="S65">
            <v>2.4569999999999999</v>
          </cell>
          <cell r="T65">
            <v>2.4565981735000002</v>
          </cell>
          <cell r="U65">
            <v>2.4565981735000002</v>
          </cell>
          <cell r="V65">
            <v>2.4565981735000002</v>
          </cell>
          <cell r="AC65">
            <v>2.4565981735000002</v>
          </cell>
          <cell r="AD65">
            <v>2.4565981735000002</v>
          </cell>
          <cell r="AE65">
            <v>2.4565981735000002</v>
          </cell>
          <cell r="AF65">
            <v>2.4565981735000002</v>
          </cell>
        </row>
        <row r="66">
          <cell r="A66" t="str">
            <v>2</v>
          </cell>
          <cell r="O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</row>
        <row r="67">
          <cell r="A67" t="str">
            <v>2</v>
          </cell>
          <cell r="O67">
            <v>20.7</v>
          </cell>
          <cell r="P67">
            <v>20.339000000000002</v>
          </cell>
          <cell r="Q67">
            <v>20.339000000000002</v>
          </cell>
          <cell r="R67">
            <v>21.5198</v>
          </cell>
          <cell r="S67">
            <v>21.518999999999998</v>
          </cell>
          <cell r="T67">
            <v>21.5198</v>
          </cell>
          <cell r="U67">
            <v>21.5198</v>
          </cell>
          <cell r="V67">
            <v>21.5198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21.5198</v>
          </cell>
          <cell r="AD67">
            <v>21.5198</v>
          </cell>
          <cell r="AE67">
            <v>21.5198</v>
          </cell>
          <cell r="AF67">
            <v>21.5198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</row>
        <row r="68">
          <cell r="A68" t="str">
            <v>2</v>
          </cell>
          <cell r="B68" t="str">
            <v>ПО</v>
          </cell>
          <cell r="O68">
            <v>0</v>
          </cell>
          <cell r="T68">
            <v>0</v>
          </cell>
          <cell r="U68">
            <v>0</v>
          </cell>
          <cell r="V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</row>
        <row r="69">
          <cell r="A69" t="str">
            <v>2</v>
          </cell>
          <cell r="B69" t="str">
            <v>ПО</v>
          </cell>
          <cell r="O69">
            <v>20.7</v>
          </cell>
          <cell r="P69">
            <v>20.339000000000002</v>
          </cell>
          <cell r="Q69">
            <v>20.339000000000002</v>
          </cell>
          <cell r="R69">
            <v>21.5198</v>
          </cell>
          <cell r="S69">
            <v>21.518999999999998</v>
          </cell>
          <cell r="T69">
            <v>21.5198</v>
          </cell>
          <cell r="U69">
            <v>21.5198</v>
          </cell>
          <cell r="V69">
            <v>21.5198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21.5198</v>
          </cell>
          <cell r="AD69">
            <v>21.5198</v>
          </cell>
          <cell r="AE69">
            <v>21.5198</v>
          </cell>
          <cell r="AF69">
            <v>21.5198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</row>
        <row r="70">
          <cell r="A70" t="str">
            <v>2</v>
          </cell>
          <cell r="O70">
            <v>2.4</v>
          </cell>
          <cell r="P70">
            <v>2.1579999999999999</v>
          </cell>
          <cell r="Q70">
            <v>2.1579999999999999</v>
          </cell>
          <cell r="R70">
            <v>2.2982</v>
          </cell>
          <cell r="S70">
            <v>2.298</v>
          </cell>
          <cell r="T70">
            <v>2.2982</v>
          </cell>
          <cell r="U70">
            <v>2.2982</v>
          </cell>
          <cell r="V70">
            <v>2.2982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2.2982</v>
          </cell>
          <cell r="AD70">
            <v>2.2982</v>
          </cell>
          <cell r="AE70">
            <v>2.2982</v>
          </cell>
          <cell r="AF70">
            <v>2.2982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</row>
        <row r="71">
          <cell r="A71" t="str">
            <v>2</v>
          </cell>
          <cell r="O71">
            <v>2.4</v>
          </cell>
          <cell r="P71">
            <v>2.1</v>
          </cell>
          <cell r="Q71">
            <v>2.1</v>
          </cell>
          <cell r="S71">
            <v>2.298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</row>
        <row r="72">
          <cell r="A72" t="str">
            <v>2</v>
          </cell>
          <cell r="O72">
            <v>0</v>
          </cell>
          <cell r="P72">
            <v>5.8000000000000003E-2</v>
          </cell>
          <cell r="Q72">
            <v>5.8000000000000003E-2</v>
          </cell>
          <cell r="R72">
            <v>2.2982</v>
          </cell>
          <cell r="S72">
            <v>0</v>
          </cell>
          <cell r="T72">
            <v>2.2982</v>
          </cell>
          <cell r="U72">
            <v>2.2982</v>
          </cell>
          <cell r="V72">
            <v>2.2982</v>
          </cell>
          <cell r="AC72">
            <v>2.2982</v>
          </cell>
          <cell r="AD72">
            <v>2.2982</v>
          </cell>
          <cell r="AE72">
            <v>2.2982</v>
          </cell>
          <cell r="AF72">
            <v>2.2982</v>
          </cell>
        </row>
        <row r="73">
          <cell r="A73" t="str">
            <v>2</v>
          </cell>
          <cell r="B73" t="str">
            <v>население</v>
          </cell>
          <cell r="O73">
            <v>18.2</v>
          </cell>
          <cell r="P73">
            <v>17.989000000000001</v>
          </cell>
          <cell r="Q73">
            <v>17.989000000000001</v>
          </cell>
          <cell r="R73">
            <v>19.093299999999999</v>
          </cell>
          <cell r="S73">
            <v>19.093</v>
          </cell>
          <cell r="T73">
            <v>19.093299999999999</v>
          </cell>
          <cell r="U73">
            <v>19.093299999999999</v>
          </cell>
          <cell r="V73">
            <v>19.093299999999999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19.093299999999999</v>
          </cell>
          <cell r="AD73">
            <v>19.093299999999999</v>
          </cell>
          <cell r="AE73">
            <v>19.093299999999999</v>
          </cell>
          <cell r="AF73">
            <v>19.093299999999999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</row>
        <row r="74">
          <cell r="A74" t="str">
            <v>2</v>
          </cell>
          <cell r="O74">
            <v>18.2</v>
          </cell>
          <cell r="P74">
            <v>15.56</v>
          </cell>
          <cell r="Q74">
            <v>15.56</v>
          </cell>
          <cell r="S74">
            <v>19.093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</row>
        <row r="75">
          <cell r="A75" t="str">
            <v>2</v>
          </cell>
          <cell r="O75">
            <v>0</v>
          </cell>
          <cell r="P75">
            <v>2.4289999999999998</v>
          </cell>
          <cell r="Q75">
            <v>2.4289999999999998</v>
          </cell>
          <cell r="R75">
            <v>19.093299999999999</v>
          </cell>
          <cell r="S75">
            <v>0</v>
          </cell>
          <cell r="T75">
            <v>19.093299999999999</v>
          </cell>
          <cell r="U75">
            <v>19.093299999999999</v>
          </cell>
          <cell r="V75">
            <v>19.093299999999999</v>
          </cell>
          <cell r="AC75">
            <v>19.093299999999999</v>
          </cell>
          <cell r="AD75">
            <v>19.093299999999999</v>
          </cell>
          <cell r="AE75">
            <v>19.093299999999999</v>
          </cell>
          <cell r="AF75">
            <v>19.093299999999999</v>
          </cell>
        </row>
        <row r="76">
          <cell r="A76" t="str">
            <v>2</v>
          </cell>
          <cell r="O76">
            <v>0.1</v>
          </cell>
          <cell r="P76">
            <v>0.19199999999999998</v>
          </cell>
          <cell r="Q76">
            <v>0.19199999999999998</v>
          </cell>
          <cell r="R76">
            <v>0.1283</v>
          </cell>
          <cell r="S76">
            <v>0.128</v>
          </cell>
          <cell r="T76">
            <v>0.1283</v>
          </cell>
          <cell r="U76">
            <v>0.1283</v>
          </cell>
          <cell r="V76">
            <v>0.1283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0.1283</v>
          </cell>
          <cell r="AD76">
            <v>0.1283</v>
          </cell>
          <cell r="AE76">
            <v>0.1283</v>
          </cell>
          <cell r="AF76">
            <v>0.1283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</row>
        <row r="77">
          <cell r="A77" t="str">
            <v>2</v>
          </cell>
          <cell r="O77">
            <v>0.1</v>
          </cell>
          <cell r="P77">
            <v>0.17199999999999999</v>
          </cell>
          <cell r="Q77">
            <v>0.17199999999999999</v>
          </cell>
          <cell r="S77">
            <v>0.128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</row>
        <row r="78">
          <cell r="A78" t="str">
            <v>2</v>
          </cell>
          <cell r="O78">
            <v>0</v>
          </cell>
          <cell r="P78">
            <v>0.02</v>
          </cell>
          <cell r="Q78">
            <v>0.02</v>
          </cell>
          <cell r="R78">
            <v>0.1283</v>
          </cell>
          <cell r="S78">
            <v>0</v>
          </cell>
          <cell r="T78">
            <v>0.1283</v>
          </cell>
          <cell r="U78">
            <v>0.1283</v>
          </cell>
          <cell r="V78">
            <v>0.1283</v>
          </cell>
          <cell r="AC78">
            <v>0.1283</v>
          </cell>
          <cell r="AD78">
            <v>0.1283</v>
          </cell>
          <cell r="AE78">
            <v>0.1283</v>
          </cell>
          <cell r="AF78">
            <v>0.1283</v>
          </cell>
        </row>
        <row r="79">
          <cell r="A79" t="str">
            <v>2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</row>
        <row r="80">
          <cell r="A80" t="str">
            <v>2</v>
          </cell>
          <cell r="O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</row>
        <row r="81">
          <cell r="A81" t="str">
            <v>2</v>
          </cell>
          <cell r="O81">
            <v>0</v>
          </cell>
        </row>
        <row r="82">
          <cell r="A82" t="str">
            <v>2</v>
          </cell>
          <cell r="O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</row>
        <row r="83">
          <cell r="A83" t="str">
            <v>2</v>
          </cell>
          <cell r="O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</row>
        <row r="84">
          <cell r="A84" t="str">
            <v>2</v>
          </cell>
          <cell r="O84">
            <v>0</v>
          </cell>
          <cell r="P84">
            <v>20.338999999999999</v>
          </cell>
          <cell r="Q84">
            <v>20.338999999999999</v>
          </cell>
          <cell r="R84">
            <v>21.5198</v>
          </cell>
          <cell r="S84">
            <v>21.52</v>
          </cell>
          <cell r="T84">
            <v>21.5198</v>
          </cell>
          <cell r="U84">
            <v>21.5198</v>
          </cell>
          <cell r="V84">
            <v>21.5198</v>
          </cell>
          <cell r="AC84">
            <v>21.5198</v>
          </cell>
          <cell r="AD84">
            <v>21.5198</v>
          </cell>
          <cell r="AE84">
            <v>21.5198</v>
          </cell>
          <cell r="AF84">
            <v>21.5198</v>
          </cell>
        </row>
        <row r="85">
          <cell r="A85" t="str">
            <v>2</v>
          </cell>
          <cell r="O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</row>
        <row r="86">
          <cell r="A86" t="str">
            <v>2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0</v>
          </cell>
          <cell r="AJ86">
            <v>0</v>
          </cell>
          <cell r="AK86">
            <v>0</v>
          </cell>
          <cell r="AL86">
            <v>0</v>
          </cell>
        </row>
        <row r="87">
          <cell r="A87" t="str">
            <v>2</v>
          </cell>
        </row>
        <row r="88">
          <cell r="A88" t="str">
            <v>2</v>
          </cell>
        </row>
        <row r="89">
          <cell r="A89" t="str">
            <v>2</v>
          </cell>
        </row>
        <row r="90">
          <cell r="A90" t="str">
            <v>2</v>
          </cell>
          <cell r="O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AC90">
            <v>0</v>
          </cell>
          <cell r="AD90">
            <v>0</v>
          </cell>
          <cell r="AE90">
            <v>0</v>
          </cell>
          <cell r="AF90">
            <v>0</v>
          </cell>
        </row>
        <row r="93">
          <cell r="O93" t="str">
            <v>2023 год</v>
          </cell>
          <cell r="P93" t="str">
            <v>2023 год</v>
          </cell>
          <cell r="Q93" t="str">
            <v>2023 год</v>
          </cell>
          <cell r="R93" t="str">
            <v>2024 год</v>
          </cell>
          <cell r="S93" t="str">
            <v>2025 год</v>
          </cell>
          <cell r="T93" t="str">
            <v>2026 год</v>
          </cell>
          <cell r="U93" t="str">
            <v>2027 год</v>
          </cell>
          <cell r="V93" t="str">
            <v>2028 год</v>
          </cell>
          <cell r="W93" t="str">
            <v>2029 год</v>
          </cell>
          <cell r="X93" t="str">
            <v>2030 год</v>
          </cell>
          <cell r="Y93" t="str">
            <v>2031 год</v>
          </cell>
          <cell r="Z93" t="str">
            <v>2032 год</v>
          </cell>
          <cell r="AA93" t="str">
            <v>2033 год</v>
          </cell>
          <cell r="AB93" t="str">
            <v>2034 год</v>
          </cell>
          <cell r="AC93" t="str">
            <v>2025 год</v>
          </cell>
          <cell r="AD93" t="str">
            <v>2026 год</v>
          </cell>
          <cell r="AE93" t="str">
            <v>2027 год</v>
          </cell>
          <cell r="AF93" t="str">
            <v>2028 год</v>
          </cell>
          <cell r="AG93" t="str">
            <v>2029 год</v>
          </cell>
          <cell r="AH93" t="str">
            <v>2030 год</v>
          </cell>
          <cell r="AI93" t="str">
            <v>2031 год</v>
          </cell>
          <cell r="AJ93" t="str">
            <v>2032 год</v>
          </cell>
          <cell r="AK93" t="str">
            <v>2033 год</v>
          </cell>
          <cell r="AL93" t="str">
            <v>2034 год</v>
          </cell>
        </row>
        <row r="94">
          <cell r="O94" t="str">
            <v>Принято органом регулирования</v>
          </cell>
          <cell r="P94" t="str">
            <v>Факт по данным организации</v>
          </cell>
          <cell r="Q94" t="str">
            <v>Факт, принятый органом регулирования</v>
          </cell>
          <cell r="R94" t="str">
            <v>Принято органом регулирования</v>
          </cell>
          <cell r="S94" t="str">
            <v>Предложение организации</v>
          </cell>
          <cell r="T94" t="str">
            <v>Предложение организации</v>
          </cell>
          <cell r="U94" t="str">
            <v>Предложение организации</v>
          </cell>
          <cell r="V94" t="str">
            <v>Предложение организации</v>
          </cell>
          <cell r="W94" t="str">
            <v>Предложение организации</v>
          </cell>
          <cell r="X94" t="str">
            <v>Предложение организации</v>
          </cell>
          <cell r="Y94" t="str">
            <v>Предложение организации</v>
          </cell>
          <cell r="Z94" t="str">
            <v>Предложение организации</v>
          </cell>
          <cell r="AA94" t="str">
            <v>Предложение организации</v>
          </cell>
          <cell r="AB94" t="str">
            <v>Предложение организации</v>
          </cell>
          <cell r="AC94" t="str">
            <v>Принято органом регулирования</v>
          </cell>
          <cell r="AD94" t="str">
            <v>Принято органом регулирования</v>
          </cell>
          <cell r="AE94" t="str">
            <v>Принято органом регулирования</v>
          </cell>
          <cell r="AF94" t="str">
            <v>Принято органом регулирования</v>
          </cell>
          <cell r="AG94" t="str">
            <v>Принято органом регулирования</v>
          </cell>
          <cell r="AH94" t="str">
            <v>Принято органом регулирования</v>
          </cell>
          <cell r="AI94" t="str">
            <v>Принято органом регулирования</v>
          </cell>
          <cell r="AJ94" t="str">
            <v>Принято органом регулирования</v>
          </cell>
          <cell r="AK94" t="str">
            <v>Принято органом регулирования</v>
          </cell>
          <cell r="AL94" t="str">
            <v>Принято органом регулирования</v>
          </cell>
        </row>
      </sheetData>
      <sheetData sheetId="18">
        <row r="15">
          <cell r="A15" t="str">
            <v>t</v>
          </cell>
          <cell r="O15" t="str">
            <v>Принято органом регулирования</v>
          </cell>
          <cell r="P15" t="str">
            <v>Факт по данным организации</v>
          </cell>
          <cell r="Q15" t="str">
            <v>Факт, принятый органом регулирования</v>
          </cell>
          <cell r="R15" t="str">
            <v>Принято органом регулирования</v>
          </cell>
          <cell r="S15" t="str">
            <v>Предложение организации</v>
          </cell>
          <cell r="T15" t="str">
            <v>Предложение организации</v>
          </cell>
          <cell r="U15" t="str">
            <v>Предложение организации</v>
          </cell>
          <cell r="V15" t="str">
            <v>Предложение организации</v>
          </cell>
          <cell r="W15" t="str">
            <v>Предложение организации</v>
          </cell>
          <cell r="X15" t="str">
            <v>Предложение организации</v>
          </cell>
          <cell r="Y15" t="str">
            <v>Предложение организации</v>
          </cell>
          <cell r="Z15" t="str">
            <v>Предложение организации</v>
          </cell>
          <cell r="AA15" t="str">
            <v>Предложение организации</v>
          </cell>
          <cell r="AB15" t="str">
            <v>Предложение организации</v>
          </cell>
          <cell r="AC15" t="str">
            <v>Принято органом регулирования</v>
          </cell>
          <cell r="AD15" t="str">
            <v>Принято органом регулирования</v>
          </cell>
          <cell r="AE15" t="str">
            <v>Принято органом регулирования</v>
          </cell>
          <cell r="AF15" t="str">
            <v>Принято органом регулирования</v>
          </cell>
          <cell r="AG15" t="str">
            <v>Принято органом регулирования</v>
          </cell>
          <cell r="AH15" t="str">
            <v>Принято органом регулирования</v>
          </cell>
          <cell r="AI15" t="str">
            <v>Принято органом регулирования</v>
          </cell>
          <cell r="AJ15" t="str">
            <v>Принято органом регулирования</v>
          </cell>
          <cell r="AK15" t="str">
            <v>Принято органом регулирования</v>
          </cell>
          <cell r="AL15" t="str">
            <v>Принято органом регулирования</v>
          </cell>
        </row>
        <row r="16">
          <cell r="A16" t="str">
            <v>1</v>
          </cell>
        </row>
        <row r="17">
          <cell r="A17" t="str">
            <v>1</v>
          </cell>
          <cell r="M17" t="str">
            <v>Всего по тарифу</v>
          </cell>
          <cell r="O17">
            <v>0</v>
          </cell>
          <cell r="P17">
            <v>2.1</v>
          </cell>
          <cell r="Q17">
            <v>0</v>
          </cell>
          <cell r="R17">
            <v>0</v>
          </cell>
          <cell r="S17">
            <v>2.2999999999999998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</row>
        <row r="18">
          <cell r="A18" t="str">
            <v>1</v>
          </cell>
        </row>
        <row r="19">
          <cell r="A19" t="str">
            <v>1</v>
          </cell>
          <cell r="M19" t="str">
            <v>Хлорная известь</v>
          </cell>
          <cell r="P19">
            <v>2.1</v>
          </cell>
          <cell r="S19">
            <v>2.2999999999999998</v>
          </cell>
        </row>
        <row r="20">
          <cell r="A20" t="str">
            <v>1</v>
          </cell>
          <cell r="M20" t="str">
            <v>Добавить</v>
          </cell>
        </row>
        <row r="21">
          <cell r="A21" t="str">
            <v>2</v>
          </cell>
        </row>
        <row r="22">
          <cell r="A22" t="str">
            <v>2</v>
          </cell>
          <cell r="M22" t="str">
            <v>Всего по тарифу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</row>
        <row r="23">
          <cell r="A23" t="str">
            <v>2</v>
          </cell>
        </row>
        <row r="24">
          <cell r="A24" t="str">
            <v>2</v>
          </cell>
          <cell r="M24" t="str">
            <v>Добавить</v>
          </cell>
        </row>
      </sheetData>
      <sheetData sheetId="19">
        <row r="15">
          <cell r="O15" t="str">
            <v>Принято органом регулирования</v>
          </cell>
          <cell r="P15" t="str">
            <v>Факт по данным организации</v>
          </cell>
          <cell r="Q15" t="str">
            <v>Факт, принятый органом регулирования</v>
          </cell>
          <cell r="R15" t="str">
            <v>Принято органом регулирования</v>
          </cell>
          <cell r="S15" t="str">
            <v>Предложение организации</v>
          </cell>
          <cell r="T15" t="str">
            <v>Предложение организации</v>
          </cell>
          <cell r="U15" t="str">
            <v>Предложение организации</v>
          </cell>
          <cell r="V15" t="str">
            <v>Предложение организации</v>
          </cell>
          <cell r="W15" t="str">
            <v>Предложение организации</v>
          </cell>
          <cell r="X15" t="str">
            <v>Предложение организации</v>
          </cell>
          <cell r="Y15" t="str">
            <v>Предложение организации</v>
          </cell>
          <cell r="Z15" t="str">
            <v>Предложение организации</v>
          </cell>
          <cell r="AA15" t="str">
            <v>Предложение организации</v>
          </cell>
          <cell r="AB15" t="str">
            <v>Предложение организации</v>
          </cell>
          <cell r="AC15" t="str">
            <v>Принято органом регулирования</v>
          </cell>
          <cell r="AD15" t="str">
            <v>Принято органом регулирования</v>
          </cell>
          <cell r="AE15" t="str">
            <v>Принято органом регулирования</v>
          </cell>
          <cell r="AF15" t="str">
            <v>Принято органом регулирования</v>
          </cell>
          <cell r="AG15" t="str">
            <v>Принято органом регулирования</v>
          </cell>
          <cell r="AH15" t="str">
            <v>Принято органом регулирования</v>
          </cell>
          <cell r="AI15" t="str">
            <v>Принято органом регулирования</v>
          </cell>
          <cell r="AJ15" t="str">
            <v>Принято органом регулирования</v>
          </cell>
          <cell r="AK15" t="str">
            <v>Принято органом регулирования</v>
          </cell>
          <cell r="AL15" t="str">
            <v>Принято органом регулирования</v>
          </cell>
        </row>
        <row r="16">
          <cell r="A16" t="str">
            <v>1</v>
          </cell>
        </row>
        <row r="17">
          <cell r="A17" t="str">
            <v>1</v>
          </cell>
          <cell r="M17" t="str">
            <v>Всего по тарифу</v>
          </cell>
          <cell r="O17">
            <v>983.51</v>
          </cell>
          <cell r="P17">
            <v>2190.4699999999998</v>
          </cell>
          <cell r="Q17">
            <v>852.05</v>
          </cell>
          <cell r="R17">
            <v>2280.15</v>
          </cell>
          <cell r="S17">
            <v>2571.77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2528.4499999999998</v>
          </cell>
          <cell r="AD17">
            <v>2407.2683625</v>
          </cell>
          <cell r="AE17">
            <v>2467.4500715624999</v>
          </cell>
          <cell r="AF17">
            <v>2529.1363233515999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</row>
        <row r="18">
          <cell r="A18" t="str">
            <v>1</v>
          </cell>
          <cell r="M18" t="str">
            <v>Объём покупаемой электроэнергии всего</v>
          </cell>
          <cell r="O18">
            <v>91.22</v>
          </cell>
          <cell r="P18">
            <v>214.661</v>
          </cell>
          <cell r="Q18">
            <v>83.5</v>
          </cell>
          <cell r="R18">
            <v>206.91</v>
          </cell>
          <cell r="S18">
            <v>216.47900000000001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206.91</v>
          </cell>
          <cell r="AD18">
            <v>206.91</v>
          </cell>
          <cell r="AE18">
            <v>206.91</v>
          </cell>
          <cell r="AF18">
            <v>206.91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</row>
        <row r="19">
          <cell r="A19" t="str">
            <v>1</v>
          </cell>
          <cell r="M19" t="str">
            <v>Объём воды/сточных вод</v>
          </cell>
          <cell r="O19">
            <v>0</v>
          </cell>
          <cell r="P19">
            <v>129.541</v>
          </cell>
          <cell r="R19">
            <v>116.46</v>
          </cell>
          <cell r="S19">
            <v>116.46</v>
          </cell>
          <cell r="T19">
            <v>127.74797720799999</v>
          </cell>
          <cell r="U19">
            <v>127.74797720799999</v>
          </cell>
          <cell r="V19">
            <v>127.74797720799999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</row>
        <row r="20">
          <cell r="A20" t="str">
            <v>1</v>
          </cell>
          <cell r="M20" t="str">
            <v>Средний (расчетный) тариф</v>
          </cell>
          <cell r="O20">
            <v>10.781736461302346</v>
          </cell>
          <cell r="P20">
            <v>10.204322163783825</v>
          </cell>
          <cell r="Q20">
            <v>10.204191616766467</v>
          </cell>
          <cell r="R20">
            <v>11.020008699434538</v>
          </cell>
          <cell r="S20">
            <v>11.879997597919427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12.220047363588034</v>
          </cell>
          <cell r="AD20">
            <v>11.634374184428012</v>
          </cell>
          <cell r="AE20">
            <v>11.925233539038713</v>
          </cell>
          <cell r="AF20">
            <v>12.223364377514862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</row>
        <row r="21">
          <cell r="A21" t="str">
            <v>1</v>
          </cell>
          <cell r="M21" t="str">
            <v>Удельный расход электроэнергии</v>
          </cell>
          <cell r="O21">
            <v>0</v>
          </cell>
          <cell r="P21">
            <v>1.6570892613149506</v>
          </cell>
          <cell r="Q21">
            <v>0</v>
          </cell>
          <cell r="R21">
            <v>1.776661514683153</v>
          </cell>
          <cell r="S21">
            <v>1.8588270650867253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</row>
        <row r="22">
          <cell r="A22" t="str">
            <v>1</v>
          </cell>
          <cell r="M22" t="str">
            <v>Одноставочный тариф</v>
          </cell>
        </row>
        <row r="23">
          <cell r="A23" t="str">
            <v>1</v>
          </cell>
          <cell r="M23" t="str">
            <v>НН</v>
          </cell>
          <cell r="O23">
            <v>983.51</v>
          </cell>
          <cell r="P23">
            <v>2190.4699999999998</v>
          </cell>
          <cell r="Q23">
            <v>852.05</v>
          </cell>
          <cell r="R23">
            <v>2280.15</v>
          </cell>
          <cell r="S23">
            <v>2571.77</v>
          </cell>
          <cell r="AC23">
            <v>2528.4499999999998</v>
          </cell>
          <cell r="AD23">
            <v>2407.2683625</v>
          </cell>
          <cell r="AE23">
            <v>2467.4500715624999</v>
          </cell>
          <cell r="AF23">
            <v>2529.1363233515999</v>
          </cell>
        </row>
        <row r="24">
          <cell r="A24" t="str">
            <v>1</v>
          </cell>
          <cell r="M24" t="str">
            <v>Тариф на электроэнергию</v>
          </cell>
          <cell r="O24">
            <v>10.781736461302346</v>
          </cell>
          <cell r="P24">
            <v>10.204322163783825</v>
          </cell>
          <cell r="Q24">
            <v>10.204191616766467</v>
          </cell>
          <cell r="R24">
            <v>11.020008699434538</v>
          </cell>
          <cell r="S24">
            <v>11.879997597919427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12.220047363588034</v>
          </cell>
          <cell r="AD24">
            <v>11.634374184428012</v>
          </cell>
          <cell r="AE24">
            <v>11.925233539038713</v>
          </cell>
          <cell r="AF24">
            <v>12.223364377514862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</row>
        <row r="25">
          <cell r="A25" t="str">
            <v>1</v>
          </cell>
          <cell r="M25" t="str">
            <v>Объём покупной электроэнергии</v>
          </cell>
          <cell r="O25">
            <v>91.22</v>
          </cell>
          <cell r="P25">
            <v>214.661</v>
          </cell>
          <cell r="Q25">
            <v>83.5</v>
          </cell>
          <cell r="R25">
            <v>206.91</v>
          </cell>
          <cell r="S25">
            <v>216.47900000000001</v>
          </cell>
          <cell r="AC25">
            <v>206.91</v>
          </cell>
          <cell r="AD25">
            <v>206.91</v>
          </cell>
          <cell r="AE25">
            <v>206.91</v>
          </cell>
          <cell r="AF25">
            <v>206.91</v>
          </cell>
        </row>
        <row r="26">
          <cell r="A26" t="str">
            <v>1</v>
          </cell>
          <cell r="M26" t="str">
            <v>Добавить</v>
          </cell>
        </row>
        <row r="27">
          <cell r="A27" t="str">
            <v>1</v>
          </cell>
          <cell r="M27" t="str">
            <v>Двухставочный тариф</v>
          </cell>
        </row>
        <row r="28">
          <cell r="A28" t="str">
            <v>1</v>
          </cell>
          <cell r="M28" t="str">
            <v xml:space="preserve">Добавить </v>
          </cell>
        </row>
        <row r="29">
          <cell r="A29" t="str">
            <v>2</v>
          </cell>
        </row>
        <row r="30">
          <cell r="A30" t="str">
            <v>2</v>
          </cell>
          <cell r="M30" t="str">
            <v>Всего по тарифу</v>
          </cell>
          <cell r="O30">
            <v>39.49</v>
          </cell>
          <cell r="P30">
            <v>8.31</v>
          </cell>
          <cell r="Q30">
            <v>37.86</v>
          </cell>
          <cell r="R30">
            <v>24.24</v>
          </cell>
          <cell r="S30">
            <v>26.135999999999999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26.88</v>
          </cell>
          <cell r="AD30">
            <v>25.591380000000001</v>
          </cell>
          <cell r="AE30">
            <v>26.231164499999998</v>
          </cell>
          <cell r="AF30">
            <v>26.886943612500001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</row>
        <row r="31">
          <cell r="A31" t="str">
            <v>2</v>
          </cell>
          <cell r="M31" t="str">
            <v>Объём покупаемой электроэнергии всего</v>
          </cell>
          <cell r="O31">
            <v>39.49</v>
          </cell>
          <cell r="P31">
            <v>0.79</v>
          </cell>
          <cell r="Q31">
            <v>3.6</v>
          </cell>
          <cell r="R31">
            <v>2.2000000000000002</v>
          </cell>
          <cell r="S31">
            <v>2.2000000000000002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2.2000000000000002</v>
          </cell>
          <cell r="AD31">
            <v>2.2000000000000002</v>
          </cell>
          <cell r="AE31">
            <v>2.2000000000000002</v>
          </cell>
          <cell r="AF31">
            <v>2.2000000000000002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</row>
        <row r="32">
          <cell r="A32" t="str">
            <v>2</v>
          </cell>
          <cell r="M32" t="str">
            <v>Объём воды/сточных вод</v>
          </cell>
          <cell r="O32">
            <v>0</v>
          </cell>
          <cell r="R32">
            <v>0</v>
          </cell>
          <cell r="AD32">
            <v>0</v>
          </cell>
          <cell r="AE32">
            <v>0</v>
          </cell>
          <cell r="AF32">
            <v>0</v>
          </cell>
        </row>
        <row r="33">
          <cell r="A33" t="str">
            <v>2</v>
          </cell>
          <cell r="M33" t="str">
            <v>Средний (расчетный) тариф</v>
          </cell>
          <cell r="O33">
            <v>1</v>
          </cell>
          <cell r="P33">
            <v>10.518987341772153</v>
          </cell>
          <cell r="Q33">
            <v>10.516666666666666</v>
          </cell>
          <cell r="R33">
            <v>11.018181818181816</v>
          </cell>
          <cell r="S33">
            <v>11.879999999999999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12.218181818181817</v>
          </cell>
          <cell r="AD33">
            <v>11.632445454545454</v>
          </cell>
          <cell r="AE33">
            <v>11.923256590909089</v>
          </cell>
          <cell r="AF33">
            <v>12.221338005681817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</row>
        <row r="34">
          <cell r="A34" t="str">
            <v>2</v>
          </cell>
          <cell r="M34" t="str">
            <v>Удельный расход электроэнергии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</row>
        <row r="35">
          <cell r="A35" t="str">
            <v>2</v>
          </cell>
          <cell r="M35" t="str">
            <v>Одноставочный тариф</v>
          </cell>
        </row>
        <row r="36">
          <cell r="A36" t="str">
            <v>2</v>
          </cell>
          <cell r="M36" t="str">
            <v>НН</v>
          </cell>
          <cell r="O36">
            <v>39.49</v>
          </cell>
          <cell r="P36">
            <v>8.31</v>
          </cell>
          <cell r="Q36">
            <v>37.86</v>
          </cell>
          <cell r="R36">
            <v>24.24</v>
          </cell>
          <cell r="S36">
            <v>26.135999999999999</v>
          </cell>
          <cell r="AC36">
            <v>26.88</v>
          </cell>
          <cell r="AD36">
            <v>25.591380000000001</v>
          </cell>
          <cell r="AE36">
            <v>26.231164499999998</v>
          </cell>
          <cell r="AF36">
            <v>26.886943612500001</v>
          </cell>
        </row>
        <row r="37">
          <cell r="A37" t="str">
            <v>2</v>
          </cell>
          <cell r="M37" t="str">
            <v>Тариф на электроэнергию</v>
          </cell>
          <cell r="O37">
            <v>1</v>
          </cell>
          <cell r="P37">
            <v>10.518987341772153</v>
          </cell>
          <cell r="Q37">
            <v>10.516666666666666</v>
          </cell>
          <cell r="R37">
            <v>11.018181818181816</v>
          </cell>
          <cell r="S37">
            <v>11.879999999999999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12.218181818181817</v>
          </cell>
          <cell r="AD37">
            <v>11.632445454545454</v>
          </cell>
          <cell r="AE37">
            <v>11.923256590909089</v>
          </cell>
          <cell r="AF37">
            <v>12.221338005681817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</row>
        <row r="38">
          <cell r="A38" t="str">
            <v>2</v>
          </cell>
          <cell r="M38" t="str">
            <v>Объём покупной электроэнергии</v>
          </cell>
          <cell r="O38">
            <v>39.49</v>
          </cell>
          <cell r="P38">
            <v>0.79</v>
          </cell>
          <cell r="Q38">
            <v>3.6</v>
          </cell>
          <cell r="R38">
            <v>2.2000000000000002</v>
          </cell>
          <cell r="S38">
            <v>2.2000000000000002</v>
          </cell>
          <cell r="AC38">
            <v>2.2000000000000002</v>
          </cell>
          <cell r="AD38">
            <v>2.2000000000000002</v>
          </cell>
          <cell r="AE38">
            <v>2.2000000000000002</v>
          </cell>
          <cell r="AF38">
            <v>2.2000000000000002</v>
          </cell>
        </row>
        <row r="39">
          <cell r="A39" t="str">
            <v>2</v>
          </cell>
          <cell r="M39" t="str">
            <v>Добавить</v>
          </cell>
        </row>
        <row r="40">
          <cell r="A40" t="str">
            <v>2</v>
          </cell>
          <cell r="M40" t="str">
            <v>Двухставочный тариф</v>
          </cell>
        </row>
        <row r="41">
          <cell r="A41" t="str">
            <v>2</v>
          </cell>
          <cell r="M41" t="str">
            <v xml:space="preserve">Добавить </v>
          </cell>
        </row>
      </sheetData>
      <sheetData sheetId="20">
        <row r="15">
          <cell r="O15" t="str">
            <v>Принято органом регулирования</v>
          </cell>
          <cell r="P15" t="str">
            <v>Факт по данным организации</v>
          </cell>
          <cell r="Q15" t="str">
            <v>Факт, принятый органом регулирования</v>
          </cell>
          <cell r="R15" t="str">
            <v>Принято органом регулирования</v>
          </cell>
          <cell r="S15" t="str">
            <v>Предложение организации</v>
          </cell>
          <cell r="T15" t="str">
            <v>Предложение организации</v>
          </cell>
          <cell r="U15" t="str">
            <v>Предложение организации</v>
          </cell>
          <cell r="V15" t="str">
            <v>Предложение организации</v>
          </cell>
          <cell r="W15" t="str">
            <v>Предложение организации</v>
          </cell>
          <cell r="X15" t="str">
            <v>Предложение организации</v>
          </cell>
          <cell r="Y15" t="str">
            <v>Предложение организации</v>
          </cell>
          <cell r="Z15" t="str">
            <v>Предложение организации</v>
          </cell>
          <cell r="AA15" t="str">
            <v>Предложение организации</v>
          </cell>
          <cell r="AB15" t="str">
            <v>Предложение организации</v>
          </cell>
          <cell r="AC15" t="str">
            <v>Принято органом регулирования</v>
          </cell>
          <cell r="AD15" t="str">
            <v>Принято органом регулирования</v>
          </cell>
          <cell r="AE15" t="str">
            <v>Принято органом регулирования</v>
          </cell>
          <cell r="AF15" t="str">
            <v>Принято органом регулирования</v>
          </cell>
          <cell r="AG15" t="str">
            <v>Принято органом регулирования</v>
          </cell>
          <cell r="AH15" t="str">
            <v>Принято органом регулирования</v>
          </cell>
          <cell r="AI15" t="str">
            <v>Принято органом регулирования</v>
          </cell>
          <cell r="AJ15" t="str">
            <v>Принято органом регулирования</v>
          </cell>
          <cell r="AK15" t="str">
            <v>Принято органом регулирования</v>
          </cell>
          <cell r="AL15" t="str">
            <v>Принято органом регулирования</v>
          </cell>
        </row>
        <row r="16">
          <cell r="A16" t="str">
            <v>1</v>
          </cell>
        </row>
        <row r="17">
          <cell r="A17" t="str">
            <v>1</v>
          </cell>
          <cell r="M17" t="str">
            <v>Первоначальная (восстановительная) стоимость на начало периода</v>
          </cell>
          <cell r="O17">
            <v>15090.547710000001</v>
          </cell>
          <cell r="P17">
            <v>19344.172999999999</v>
          </cell>
          <cell r="Q17">
            <v>0</v>
          </cell>
          <cell r="R17">
            <v>15090.547710000001</v>
          </cell>
          <cell r="S17">
            <v>18760.93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15090.547710000001</v>
          </cell>
          <cell r="AE17">
            <v>15090.547710000001</v>
          </cell>
          <cell r="AF17">
            <v>15090.547710000001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</row>
        <row r="18">
          <cell r="A18" t="str">
            <v>1</v>
          </cell>
          <cell r="M18" t="str">
            <v>Здания</v>
          </cell>
          <cell r="O18">
            <v>0</v>
          </cell>
          <cell r="R18">
            <v>0</v>
          </cell>
          <cell r="AD18">
            <v>0</v>
          </cell>
          <cell r="AE18">
            <v>0</v>
          </cell>
          <cell r="AF18">
            <v>0</v>
          </cell>
        </row>
        <row r="19">
          <cell r="A19" t="str">
            <v>1</v>
          </cell>
          <cell r="M19" t="str">
            <v>Сооружения и передаточные устройства</v>
          </cell>
          <cell r="O19">
            <v>15069.8477</v>
          </cell>
          <cell r="P19">
            <v>18939.09</v>
          </cell>
          <cell r="R19">
            <v>15069.8477</v>
          </cell>
          <cell r="S19">
            <v>18426.16</v>
          </cell>
          <cell r="AD19">
            <v>15069.8477</v>
          </cell>
          <cell r="AE19">
            <v>15069.8477</v>
          </cell>
          <cell r="AF19">
            <v>15069.8477</v>
          </cell>
        </row>
        <row r="20">
          <cell r="A20" t="str">
            <v>1</v>
          </cell>
          <cell r="M20" t="str">
            <v>Машины и оборудование</v>
          </cell>
          <cell r="O20">
            <v>20.7</v>
          </cell>
          <cell r="P20">
            <v>405.08300000000003</v>
          </cell>
          <cell r="R20">
            <v>20.7</v>
          </cell>
          <cell r="S20">
            <v>334.77</v>
          </cell>
          <cell r="AD20">
            <v>20.7</v>
          </cell>
          <cell r="AE20">
            <v>20.7</v>
          </cell>
          <cell r="AF20">
            <v>20.7</v>
          </cell>
        </row>
        <row r="21">
          <cell r="A21" t="str">
            <v>1</v>
          </cell>
          <cell r="M21" t="str">
            <v>Транспорт</v>
          </cell>
          <cell r="O21">
            <v>0</v>
          </cell>
          <cell r="R21">
            <v>0</v>
          </cell>
          <cell r="AD21">
            <v>0</v>
          </cell>
          <cell r="AE21">
            <v>0</v>
          </cell>
          <cell r="AF21">
            <v>0</v>
          </cell>
        </row>
        <row r="22">
          <cell r="A22" t="str">
            <v>1</v>
          </cell>
          <cell r="M22" t="str">
            <v>Прочее</v>
          </cell>
          <cell r="O22">
            <v>1.0000000000000001E-5</v>
          </cell>
          <cell r="R22">
            <v>1.0000000000000001E-5</v>
          </cell>
          <cell r="AD22">
            <v>1.0000000000000001E-5</v>
          </cell>
          <cell r="AE22">
            <v>1.0000000000000001E-5</v>
          </cell>
          <cell r="AF22">
            <v>1.0000000000000001E-5</v>
          </cell>
        </row>
        <row r="23">
          <cell r="A23" t="str">
            <v>1</v>
          </cell>
          <cell r="M23" t="str">
            <v>Ввод основных фондов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</row>
        <row r="24">
          <cell r="A24" t="str">
            <v>1</v>
          </cell>
          <cell r="M24" t="str">
            <v>Здания</v>
          </cell>
        </row>
        <row r="25">
          <cell r="A25" t="str">
            <v>1</v>
          </cell>
          <cell r="M25" t="str">
            <v>Сооружения и передаточные устройства</v>
          </cell>
        </row>
        <row r="26">
          <cell r="A26" t="str">
            <v>1</v>
          </cell>
          <cell r="M26" t="str">
            <v>Машины и оборудование</v>
          </cell>
        </row>
        <row r="27">
          <cell r="A27" t="str">
            <v>1</v>
          </cell>
          <cell r="M27" t="str">
            <v>Транспорт</v>
          </cell>
        </row>
        <row r="28">
          <cell r="A28" t="str">
            <v>1</v>
          </cell>
          <cell r="M28" t="str">
            <v>Прочее</v>
          </cell>
        </row>
        <row r="29">
          <cell r="A29" t="str">
            <v>1</v>
          </cell>
          <cell r="M29" t="str">
            <v>Выбытие основных фондов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</row>
        <row r="30">
          <cell r="A30" t="str">
            <v>1</v>
          </cell>
          <cell r="M30" t="str">
            <v>Здания</v>
          </cell>
        </row>
        <row r="31">
          <cell r="A31" t="str">
            <v>1</v>
          </cell>
          <cell r="M31" t="str">
            <v>Сооружения и передаточные устройства</v>
          </cell>
        </row>
        <row r="32">
          <cell r="A32" t="str">
            <v>1</v>
          </cell>
          <cell r="M32" t="str">
            <v>Машины и оборудование</v>
          </cell>
        </row>
        <row r="33">
          <cell r="A33" t="str">
            <v>1</v>
          </cell>
          <cell r="M33" t="str">
            <v>Транспорт</v>
          </cell>
        </row>
        <row r="34">
          <cell r="A34" t="str">
            <v>1</v>
          </cell>
          <cell r="M34" t="str">
            <v>Прочее</v>
          </cell>
        </row>
        <row r="35">
          <cell r="A35" t="str">
            <v>1</v>
          </cell>
          <cell r="M35" t="str">
            <v>Первоначальная (восстановительная) стоимость на конец периода</v>
          </cell>
          <cell r="O35">
            <v>15090.547710000001</v>
          </cell>
          <cell r="P35">
            <v>19067.460000000003</v>
          </cell>
          <cell r="Q35">
            <v>0</v>
          </cell>
          <cell r="R35">
            <v>15090.547710000001</v>
          </cell>
          <cell r="S35">
            <v>18454.38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15090.547710000001</v>
          </cell>
          <cell r="AE35">
            <v>15090.547710000001</v>
          </cell>
          <cell r="AF35">
            <v>15090.547710000001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</row>
        <row r="36">
          <cell r="A36" t="str">
            <v>1</v>
          </cell>
          <cell r="M36" t="str">
            <v>Здания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</row>
        <row r="37">
          <cell r="A37" t="str">
            <v>1</v>
          </cell>
          <cell r="M37" t="str">
            <v>Сооружения и передаточные устройства</v>
          </cell>
          <cell r="O37">
            <v>15069.8477</v>
          </cell>
          <cell r="P37">
            <v>18696.830000000002</v>
          </cell>
          <cell r="Q37">
            <v>0</v>
          </cell>
          <cell r="R37">
            <v>15069.8477</v>
          </cell>
          <cell r="S37">
            <v>18155.47</v>
          </cell>
          <cell r="AD37">
            <v>15069.8477</v>
          </cell>
          <cell r="AE37">
            <v>15069.8477</v>
          </cell>
          <cell r="AF37">
            <v>15069.8477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</row>
        <row r="38">
          <cell r="A38" t="str">
            <v>1</v>
          </cell>
          <cell r="M38" t="str">
            <v>Машины и оборудование</v>
          </cell>
          <cell r="O38">
            <v>20.7</v>
          </cell>
          <cell r="P38">
            <v>370.63</v>
          </cell>
          <cell r="Q38">
            <v>0</v>
          </cell>
          <cell r="R38">
            <v>20.7</v>
          </cell>
          <cell r="S38">
            <v>298.91000000000003</v>
          </cell>
          <cell r="AD38">
            <v>20.7</v>
          </cell>
          <cell r="AE38">
            <v>20.7</v>
          </cell>
          <cell r="AF38">
            <v>20.7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</row>
        <row r="39">
          <cell r="A39" t="str">
            <v>1</v>
          </cell>
          <cell r="M39" t="str">
            <v>Транспорт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</row>
        <row r="40">
          <cell r="A40" t="str">
            <v>1</v>
          </cell>
          <cell r="M40" t="str">
            <v>Прочее</v>
          </cell>
          <cell r="O40">
            <v>1.0000000000000001E-5</v>
          </cell>
          <cell r="P40">
            <v>0</v>
          </cell>
          <cell r="Q40">
            <v>0</v>
          </cell>
          <cell r="R40">
            <v>1.0000000000000001E-5</v>
          </cell>
          <cell r="AD40">
            <v>1.0000000000000001E-5</v>
          </cell>
          <cell r="AE40">
            <v>1.0000000000000001E-5</v>
          </cell>
          <cell r="AF40">
            <v>1.0000000000000001E-5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</row>
        <row r="41">
          <cell r="A41" t="str">
            <v>1</v>
          </cell>
          <cell r="M41" t="str">
            <v>Среднегодовая стоимость</v>
          </cell>
          <cell r="O41">
            <v>15090.547710000001</v>
          </cell>
          <cell r="P41">
            <v>19205.816500000001</v>
          </cell>
          <cell r="Q41">
            <v>0</v>
          </cell>
          <cell r="R41">
            <v>15090.547710000001</v>
          </cell>
          <cell r="S41">
            <v>18760.93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15090.547710000001</v>
          </cell>
          <cell r="AE41">
            <v>15090.547710000001</v>
          </cell>
          <cell r="AF41">
            <v>15090.547710000001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</row>
        <row r="42">
          <cell r="A42" t="str">
            <v>1</v>
          </cell>
          <cell r="M42" t="str">
            <v>Здания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</row>
        <row r="43">
          <cell r="A43" t="str">
            <v>1</v>
          </cell>
          <cell r="M43" t="str">
            <v>Сооружения и передаточные устройства</v>
          </cell>
          <cell r="O43">
            <v>15069.8477</v>
          </cell>
          <cell r="P43">
            <v>18817.96</v>
          </cell>
          <cell r="Q43">
            <v>0</v>
          </cell>
          <cell r="R43">
            <v>15069.8477</v>
          </cell>
          <cell r="S43">
            <v>18426.16</v>
          </cell>
          <cell r="AD43">
            <v>15069.8477</v>
          </cell>
          <cell r="AE43">
            <v>15069.8477</v>
          </cell>
          <cell r="AF43">
            <v>15069.8477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</row>
        <row r="44">
          <cell r="A44" t="str">
            <v>1</v>
          </cell>
          <cell r="M44" t="str">
            <v>Машины и оборудование</v>
          </cell>
          <cell r="O44">
            <v>20.7</v>
          </cell>
          <cell r="P44">
            <v>387.85649999999998</v>
          </cell>
          <cell r="Q44">
            <v>0</v>
          </cell>
          <cell r="R44">
            <v>20.7</v>
          </cell>
          <cell r="S44">
            <v>334.77</v>
          </cell>
          <cell r="AD44">
            <v>20.7</v>
          </cell>
          <cell r="AE44">
            <v>20.7</v>
          </cell>
          <cell r="AF44">
            <v>20.7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</row>
        <row r="45">
          <cell r="A45" t="str">
            <v>1</v>
          </cell>
          <cell r="M45" t="str">
            <v>Транспорт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</row>
        <row r="46">
          <cell r="A46" t="str">
            <v>1</v>
          </cell>
          <cell r="M46" t="str">
            <v>Прочее</v>
          </cell>
          <cell r="O46">
            <v>1.0000000000000001E-5</v>
          </cell>
          <cell r="P46">
            <v>0</v>
          </cell>
          <cell r="Q46">
            <v>0</v>
          </cell>
          <cell r="R46">
            <v>1.0000000000000001E-5</v>
          </cell>
          <cell r="AD46">
            <v>1.0000000000000001E-5</v>
          </cell>
          <cell r="AE46">
            <v>1.0000000000000001E-5</v>
          </cell>
          <cell r="AF46">
            <v>1.0000000000000001E-5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</row>
        <row r="47">
          <cell r="A47" t="str">
            <v>1</v>
          </cell>
          <cell r="M47" t="str">
            <v>Средняя норма амортизационных отчислений</v>
          </cell>
        </row>
        <row r="48">
          <cell r="A48" t="str">
            <v>1</v>
          </cell>
          <cell r="M48" t="str">
            <v>Здания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</row>
        <row r="49">
          <cell r="A49" t="str">
            <v>1</v>
          </cell>
          <cell r="M49" t="str">
            <v>Сооружения и передаточные устройства</v>
          </cell>
          <cell r="O49">
            <v>1.4379043790999999</v>
          </cell>
          <cell r="P49">
            <v>1.2873871556746852</v>
          </cell>
          <cell r="Q49">
            <v>0</v>
          </cell>
          <cell r="R49">
            <v>2.0068550527000002</v>
          </cell>
          <cell r="AD49">
            <v>2.0068550527000002</v>
          </cell>
          <cell r="AE49">
            <v>2.0068550527000002</v>
          </cell>
          <cell r="AF49">
            <v>2.0068550527000002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</row>
        <row r="50">
          <cell r="A50" t="str">
            <v>1</v>
          </cell>
          <cell r="M50" t="str">
            <v>Машины и оборудование</v>
          </cell>
          <cell r="O50">
            <v>0</v>
          </cell>
          <cell r="P50">
            <v>8.8821510017235763</v>
          </cell>
          <cell r="Q50">
            <v>0</v>
          </cell>
          <cell r="R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</row>
        <row r="51">
          <cell r="A51" t="str">
            <v>1</v>
          </cell>
          <cell r="M51" t="str">
            <v>Транспорт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</row>
        <row r="52">
          <cell r="A52" t="str">
            <v>1</v>
          </cell>
          <cell r="M52" t="str">
            <v>Прочее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</row>
        <row r="53">
          <cell r="A53" t="str">
            <v>1</v>
          </cell>
          <cell r="M53" t="str">
            <v>Сумма амортизационных отчислений</v>
          </cell>
          <cell r="O53">
            <v>216.69</v>
          </cell>
          <cell r="P53">
            <v>276.70999999999998</v>
          </cell>
          <cell r="Q53">
            <v>276.70999999999998</v>
          </cell>
          <cell r="R53">
            <v>302.43</v>
          </cell>
          <cell r="S53">
            <v>306.53000000000003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306.53000000000003</v>
          </cell>
          <cell r="AD53">
            <v>302.43</v>
          </cell>
          <cell r="AE53">
            <v>302.43</v>
          </cell>
          <cell r="AF53">
            <v>302.43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</row>
        <row r="54">
          <cell r="A54" t="str">
            <v>1</v>
          </cell>
          <cell r="M54" t="str">
            <v>Здания</v>
          </cell>
          <cell r="O54">
            <v>0</v>
          </cell>
          <cell r="R54">
            <v>0</v>
          </cell>
          <cell r="AD54">
            <v>0</v>
          </cell>
          <cell r="AE54">
            <v>0</v>
          </cell>
          <cell r="AF54">
            <v>0</v>
          </cell>
        </row>
        <row r="55">
          <cell r="A55" t="str">
            <v>1</v>
          </cell>
          <cell r="M55" t="str">
            <v>Сооружения и передаточные устройства</v>
          </cell>
          <cell r="O55">
            <v>216.69</v>
          </cell>
          <cell r="P55">
            <v>242.26</v>
          </cell>
          <cell r="Q55">
            <v>242.26</v>
          </cell>
          <cell r="R55">
            <v>302.43</v>
          </cell>
          <cell r="S55">
            <v>270.67</v>
          </cell>
          <cell r="AC55">
            <v>270.67</v>
          </cell>
          <cell r="AD55">
            <v>302.43</v>
          </cell>
          <cell r="AE55">
            <v>302.43</v>
          </cell>
          <cell r="AF55">
            <v>302.43</v>
          </cell>
        </row>
        <row r="56">
          <cell r="A56" t="str">
            <v>1</v>
          </cell>
          <cell r="M56" t="str">
            <v>Машины и оборудование</v>
          </cell>
          <cell r="O56">
            <v>0</v>
          </cell>
          <cell r="P56">
            <v>34.450000000000003</v>
          </cell>
          <cell r="Q56">
            <v>34.450000000000003</v>
          </cell>
          <cell r="R56">
            <v>0</v>
          </cell>
          <cell r="S56">
            <v>35.86</v>
          </cell>
          <cell r="AC56">
            <v>35.86</v>
          </cell>
          <cell r="AD56">
            <v>0</v>
          </cell>
          <cell r="AE56">
            <v>0</v>
          </cell>
          <cell r="AF56">
            <v>0</v>
          </cell>
        </row>
        <row r="57">
          <cell r="A57" t="str">
            <v>1</v>
          </cell>
          <cell r="M57" t="str">
            <v>Транспорт</v>
          </cell>
          <cell r="O57">
            <v>0</v>
          </cell>
          <cell r="R57">
            <v>0</v>
          </cell>
          <cell r="AD57">
            <v>0</v>
          </cell>
          <cell r="AE57">
            <v>0</v>
          </cell>
          <cell r="AF57">
            <v>0</v>
          </cell>
        </row>
        <row r="58">
          <cell r="A58" t="str">
            <v>1</v>
          </cell>
          <cell r="M58" t="str">
            <v>Прочее</v>
          </cell>
          <cell r="O58">
            <v>0</v>
          </cell>
          <cell r="R58">
            <v>0</v>
          </cell>
          <cell r="AD58">
            <v>0</v>
          </cell>
          <cell r="AE58">
            <v>0</v>
          </cell>
          <cell r="AF58">
            <v>0</v>
          </cell>
        </row>
        <row r="59">
          <cell r="A59" t="str">
            <v>1</v>
          </cell>
          <cell r="M59" t="str">
            <v>Переоценка на 31.12.XX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</row>
        <row r="60">
          <cell r="A60" t="str">
            <v>1</v>
          </cell>
          <cell r="M60" t="str">
            <v>Здания</v>
          </cell>
        </row>
        <row r="61">
          <cell r="A61" t="str">
            <v>1</v>
          </cell>
          <cell r="M61" t="str">
            <v>Сооружения и передаточные устройства</v>
          </cell>
        </row>
        <row r="62">
          <cell r="A62" t="str">
            <v>1</v>
          </cell>
          <cell r="M62" t="str">
            <v>Машины и оборудование</v>
          </cell>
        </row>
        <row r="63">
          <cell r="A63" t="str">
            <v>1</v>
          </cell>
          <cell r="M63" t="str">
            <v>Транспорт</v>
          </cell>
        </row>
        <row r="64">
          <cell r="A64" t="str">
            <v>1</v>
          </cell>
          <cell r="M64" t="str">
            <v>Прочее</v>
          </cell>
        </row>
        <row r="65">
          <cell r="A65" t="str">
            <v>2</v>
          </cell>
        </row>
        <row r="66">
          <cell r="A66" t="str">
            <v>2</v>
          </cell>
          <cell r="M66" t="str">
            <v>Первоначальная (восстановительная) стоимость на начало периода</v>
          </cell>
          <cell r="O66">
            <v>1419.0214699999999</v>
          </cell>
          <cell r="P66">
            <v>1419.02</v>
          </cell>
          <cell r="Q66">
            <v>0</v>
          </cell>
          <cell r="R66">
            <v>1419.0214699999999</v>
          </cell>
          <cell r="S66">
            <v>1419.02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1419.0214699999999</v>
          </cell>
          <cell r="AE66">
            <v>1419.0214699999999</v>
          </cell>
          <cell r="AF66">
            <v>1419.0214699999999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</row>
        <row r="67">
          <cell r="A67" t="str">
            <v>2</v>
          </cell>
          <cell r="M67" t="str">
            <v>Здания</v>
          </cell>
          <cell r="O67">
            <v>1419.0214699999999</v>
          </cell>
          <cell r="P67">
            <v>0</v>
          </cell>
          <cell r="R67">
            <v>1419.0214699999999</v>
          </cell>
          <cell r="S67">
            <v>0</v>
          </cell>
          <cell r="AD67">
            <v>1419.0214699999999</v>
          </cell>
          <cell r="AE67">
            <v>1419.0214699999999</v>
          </cell>
          <cell r="AF67">
            <v>1419.0214699999999</v>
          </cell>
        </row>
        <row r="68">
          <cell r="A68" t="str">
            <v>2</v>
          </cell>
          <cell r="M68" t="str">
            <v>Сооружения и передаточные устройства</v>
          </cell>
          <cell r="O68">
            <v>0</v>
          </cell>
          <cell r="P68">
            <v>1419.02</v>
          </cell>
          <cell r="R68">
            <v>0</v>
          </cell>
          <cell r="S68">
            <v>1419.02</v>
          </cell>
          <cell r="AD68">
            <v>0</v>
          </cell>
          <cell r="AE68">
            <v>0</v>
          </cell>
          <cell r="AF68">
            <v>0</v>
          </cell>
        </row>
        <row r="69">
          <cell r="A69" t="str">
            <v>2</v>
          </cell>
          <cell r="M69" t="str">
            <v>Машины и оборудование</v>
          </cell>
          <cell r="O69">
            <v>0</v>
          </cell>
          <cell r="R69">
            <v>0</v>
          </cell>
          <cell r="AD69">
            <v>0</v>
          </cell>
          <cell r="AE69">
            <v>0</v>
          </cell>
          <cell r="AF69">
            <v>0</v>
          </cell>
        </row>
        <row r="70">
          <cell r="A70" t="str">
            <v>2</v>
          </cell>
          <cell r="M70" t="str">
            <v>Транспорт</v>
          </cell>
          <cell r="O70">
            <v>0</v>
          </cell>
          <cell r="R70">
            <v>0</v>
          </cell>
          <cell r="AD70">
            <v>0</v>
          </cell>
          <cell r="AE70">
            <v>0</v>
          </cell>
          <cell r="AF70">
            <v>0</v>
          </cell>
        </row>
        <row r="71">
          <cell r="A71" t="str">
            <v>2</v>
          </cell>
          <cell r="M71" t="str">
            <v>Прочее</v>
          </cell>
          <cell r="O71">
            <v>0</v>
          </cell>
          <cell r="R71">
            <v>0</v>
          </cell>
          <cell r="AD71">
            <v>0</v>
          </cell>
          <cell r="AE71">
            <v>0</v>
          </cell>
          <cell r="AF71">
            <v>0</v>
          </cell>
        </row>
        <row r="72">
          <cell r="A72" t="str">
            <v>2</v>
          </cell>
          <cell r="M72" t="str">
            <v>Ввод основных фондов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</row>
        <row r="73">
          <cell r="A73" t="str">
            <v>2</v>
          </cell>
          <cell r="M73" t="str">
            <v>Здания</v>
          </cell>
        </row>
        <row r="74">
          <cell r="A74" t="str">
            <v>2</v>
          </cell>
          <cell r="M74" t="str">
            <v>Сооружения и передаточные устройства</v>
          </cell>
        </row>
        <row r="75">
          <cell r="A75" t="str">
            <v>2</v>
          </cell>
          <cell r="M75" t="str">
            <v>Машины и оборудование</v>
          </cell>
        </row>
        <row r="76">
          <cell r="A76" t="str">
            <v>2</v>
          </cell>
          <cell r="M76" t="str">
            <v>Транспорт</v>
          </cell>
        </row>
        <row r="77">
          <cell r="A77" t="str">
            <v>2</v>
          </cell>
          <cell r="M77" t="str">
            <v>Прочее</v>
          </cell>
        </row>
        <row r="78">
          <cell r="A78" t="str">
            <v>2</v>
          </cell>
          <cell r="M78" t="str">
            <v>Выбытие основных фондов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</row>
        <row r="79">
          <cell r="A79" t="str">
            <v>2</v>
          </cell>
          <cell r="M79" t="str">
            <v>Здания</v>
          </cell>
        </row>
        <row r="80">
          <cell r="A80" t="str">
            <v>2</v>
          </cell>
          <cell r="M80" t="str">
            <v>Сооружения и передаточные устройства</v>
          </cell>
        </row>
        <row r="81">
          <cell r="A81" t="str">
            <v>2</v>
          </cell>
          <cell r="M81" t="str">
            <v>Машины и оборудование</v>
          </cell>
        </row>
        <row r="82">
          <cell r="A82" t="str">
            <v>2</v>
          </cell>
          <cell r="M82" t="str">
            <v>Транспорт</v>
          </cell>
        </row>
        <row r="83">
          <cell r="A83" t="str">
            <v>2</v>
          </cell>
          <cell r="M83" t="str">
            <v>Прочее</v>
          </cell>
        </row>
        <row r="84">
          <cell r="A84" t="str">
            <v>2</v>
          </cell>
          <cell r="M84" t="str">
            <v>Первоначальная (восстановительная) стоимость на конец периода</v>
          </cell>
          <cell r="O84">
            <v>1419.0214699999999</v>
          </cell>
          <cell r="P84">
            <v>1419.02</v>
          </cell>
          <cell r="Q84">
            <v>0</v>
          </cell>
          <cell r="R84">
            <v>1419.0214699999999</v>
          </cell>
          <cell r="S84">
            <v>1419.02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1419.0214699999999</v>
          </cell>
          <cell r="AE84">
            <v>1419.0214699999999</v>
          </cell>
          <cell r="AF84">
            <v>1419.0214699999999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</row>
        <row r="85">
          <cell r="A85" t="str">
            <v>2</v>
          </cell>
          <cell r="M85" t="str">
            <v>Здания</v>
          </cell>
          <cell r="O85">
            <v>1419.0214699999999</v>
          </cell>
          <cell r="P85">
            <v>0</v>
          </cell>
          <cell r="Q85">
            <v>0</v>
          </cell>
          <cell r="R85">
            <v>1419.0214699999999</v>
          </cell>
          <cell r="AD85">
            <v>1419.0214699999999</v>
          </cell>
          <cell r="AE85">
            <v>1419.0214699999999</v>
          </cell>
          <cell r="AF85">
            <v>1419.0214699999999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</row>
        <row r="86">
          <cell r="A86" t="str">
            <v>2</v>
          </cell>
          <cell r="M86" t="str">
            <v>Сооружения и передаточные устройства</v>
          </cell>
          <cell r="O86">
            <v>0</v>
          </cell>
          <cell r="P86">
            <v>1419.02</v>
          </cell>
          <cell r="Q86">
            <v>0</v>
          </cell>
          <cell r="R86">
            <v>0</v>
          </cell>
          <cell r="S86">
            <v>1419.02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0</v>
          </cell>
          <cell r="AJ86">
            <v>0</v>
          </cell>
          <cell r="AK86">
            <v>0</v>
          </cell>
          <cell r="AL86">
            <v>0</v>
          </cell>
        </row>
        <row r="87">
          <cell r="A87" t="str">
            <v>2</v>
          </cell>
          <cell r="M87" t="str">
            <v>Машины и оборудование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AD87">
            <v>0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0</v>
          </cell>
          <cell r="AJ87">
            <v>0</v>
          </cell>
          <cell r="AK87">
            <v>0</v>
          </cell>
          <cell r="AL87">
            <v>0</v>
          </cell>
        </row>
        <row r="88">
          <cell r="A88" t="str">
            <v>2</v>
          </cell>
          <cell r="M88" t="str">
            <v>Транспорт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</row>
        <row r="89">
          <cell r="A89" t="str">
            <v>2</v>
          </cell>
          <cell r="M89" t="str">
            <v>Прочее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0</v>
          </cell>
          <cell r="AJ89">
            <v>0</v>
          </cell>
          <cell r="AK89">
            <v>0</v>
          </cell>
          <cell r="AL89">
            <v>0</v>
          </cell>
        </row>
        <row r="90">
          <cell r="A90" t="str">
            <v>2</v>
          </cell>
          <cell r="M90" t="str">
            <v>Среднегодовая стоимость</v>
          </cell>
          <cell r="O90">
            <v>1419.0214699999999</v>
          </cell>
          <cell r="P90">
            <v>1419.02</v>
          </cell>
          <cell r="Q90">
            <v>0</v>
          </cell>
          <cell r="R90">
            <v>1419.0214699999999</v>
          </cell>
          <cell r="S90">
            <v>1419.02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1419.0214699999999</v>
          </cell>
          <cell r="AE90">
            <v>1419.0214699999999</v>
          </cell>
          <cell r="AF90">
            <v>1419.0214699999999</v>
          </cell>
          <cell r="AG90">
            <v>0</v>
          </cell>
          <cell r="AH90">
            <v>0</v>
          </cell>
          <cell r="AI90">
            <v>0</v>
          </cell>
          <cell r="AJ90">
            <v>0</v>
          </cell>
          <cell r="AK90">
            <v>0</v>
          </cell>
          <cell r="AL90">
            <v>0</v>
          </cell>
        </row>
        <row r="91">
          <cell r="A91" t="str">
            <v>2</v>
          </cell>
          <cell r="M91" t="str">
            <v>Здания</v>
          </cell>
          <cell r="O91">
            <v>1419.0214699999999</v>
          </cell>
          <cell r="P91">
            <v>0</v>
          </cell>
          <cell r="Q91">
            <v>0</v>
          </cell>
          <cell r="R91">
            <v>1419.0214699999999</v>
          </cell>
          <cell r="AD91">
            <v>1419.0214699999999</v>
          </cell>
          <cell r="AE91">
            <v>1419.0214699999999</v>
          </cell>
          <cell r="AF91">
            <v>1419.0214699999999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</row>
        <row r="92">
          <cell r="A92" t="str">
            <v>2</v>
          </cell>
          <cell r="M92" t="str">
            <v>Сооружения и передаточные устройства</v>
          </cell>
          <cell r="O92">
            <v>0</v>
          </cell>
          <cell r="P92">
            <v>1419.02</v>
          </cell>
          <cell r="Q92">
            <v>0</v>
          </cell>
          <cell r="R92">
            <v>0</v>
          </cell>
          <cell r="S92">
            <v>1419.02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</row>
        <row r="93">
          <cell r="A93" t="str">
            <v>2</v>
          </cell>
          <cell r="M93" t="str">
            <v>Машины и оборудование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</row>
        <row r="94">
          <cell r="A94" t="str">
            <v>2</v>
          </cell>
          <cell r="M94" t="str">
            <v>Транспорт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</row>
        <row r="95">
          <cell r="A95" t="str">
            <v>2</v>
          </cell>
          <cell r="M95" t="str">
            <v>Прочее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</row>
        <row r="96">
          <cell r="A96" t="str">
            <v>2</v>
          </cell>
          <cell r="M96" t="str">
            <v>Средняя норма амортизационных отчислений</v>
          </cell>
        </row>
        <row r="97">
          <cell r="A97" t="str">
            <v>2</v>
          </cell>
          <cell r="M97" t="str">
            <v>Здания</v>
          </cell>
          <cell r="O97">
            <v>0</v>
          </cell>
          <cell r="P97">
            <v>0</v>
          </cell>
          <cell r="Q97">
            <v>0</v>
          </cell>
          <cell r="R97">
            <v>1.9675530349999999</v>
          </cell>
          <cell r="AD97">
            <v>1.9675530349999999</v>
          </cell>
          <cell r="AE97">
            <v>1.9675530349999999</v>
          </cell>
          <cell r="AF97">
            <v>1.9675530349999999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</row>
        <row r="98">
          <cell r="A98" t="str">
            <v>2</v>
          </cell>
          <cell r="M98" t="str">
            <v>Сооружения и передаточные устройства</v>
          </cell>
          <cell r="O98">
            <v>0</v>
          </cell>
          <cell r="P98">
            <v>1.9675550732195461</v>
          </cell>
          <cell r="Q98">
            <v>0</v>
          </cell>
          <cell r="R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</row>
        <row r="99">
          <cell r="A99" t="str">
            <v>2</v>
          </cell>
          <cell r="M99" t="str">
            <v>Машины и оборудование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</row>
        <row r="100">
          <cell r="A100" t="str">
            <v>2</v>
          </cell>
          <cell r="M100" t="str">
            <v>Транспорт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</row>
        <row r="101">
          <cell r="A101" t="str">
            <v>2</v>
          </cell>
          <cell r="M101" t="str">
            <v>Прочее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</row>
        <row r="102">
          <cell r="A102" t="str">
            <v>2</v>
          </cell>
          <cell r="M102" t="str">
            <v>Сумма амортизационных отчислений</v>
          </cell>
          <cell r="O102">
            <v>27.92</v>
          </cell>
          <cell r="P102">
            <v>27.92</v>
          </cell>
          <cell r="Q102">
            <v>27.92</v>
          </cell>
          <cell r="R102">
            <v>27.92</v>
          </cell>
          <cell r="S102">
            <v>27.92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27.92</v>
          </cell>
          <cell r="AD102">
            <v>27.92</v>
          </cell>
          <cell r="AE102">
            <v>27.92</v>
          </cell>
          <cell r="AF102">
            <v>27.92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</row>
        <row r="103">
          <cell r="A103" t="str">
            <v>2</v>
          </cell>
          <cell r="M103" t="str">
            <v>Здания</v>
          </cell>
          <cell r="O103">
            <v>0</v>
          </cell>
          <cell r="R103">
            <v>27.92</v>
          </cell>
          <cell r="AD103">
            <v>27.92</v>
          </cell>
          <cell r="AE103">
            <v>27.92</v>
          </cell>
          <cell r="AF103">
            <v>27.92</v>
          </cell>
        </row>
        <row r="104">
          <cell r="A104" t="str">
            <v>2</v>
          </cell>
          <cell r="M104" t="str">
            <v>Сооружения и передаточные устройства</v>
          </cell>
          <cell r="O104">
            <v>0</v>
          </cell>
          <cell r="P104">
            <v>27.92</v>
          </cell>
          <cell r="Q104">
            <v>27.92</v>
          </cell>
          <cell r="R104">
            <v>0</v>
          </cell>
          <cell r="S104">
            <v>27.92</v>
          </cell>
          <cell r="AC104">
            <v>27.92</v>
          </cell>
          <cell r="AD104">
            <v>0</v>
          </cell>
          <cell r="AE104">
            <v>0</v>
          </cell>
          <cell r="AF104">
            <v>0</v>
          </cell>
        </row>
        <row r="105">
          <cell r="A105" t="str">
            <v>2</v>
          </cell>
          <cell r="M105" t="str">
            <v>Машины и оборудование</v>
          </cell>
          <cell r="O105">
            <v>0</v>
          </cell>
          <cell r="R105">
            <v>0</v>
          </cell>
          <cell r="AD105">
            <v>0</v>
          </cell>
          <cell r="AE105">
            <v>0</v>
          </cell>
          <cell r="AF105">
            <v>0</v>
          </cell>
        </row>
        <row r="106">
          <cell r="A106" t="str">
            <v>2</v>
          </cell>
          <cell r="M106" t="str">
            <v>Транспорт</v>
          </cell>
          <cell r="O106">
            <v>0</v>
          </cell>
          <cell r="R106">
            <v>0</v>
          </cell>
          <cell r="AD106">
            <v>0</v>
          </cell>
          <cell r="AE106">
            <v>0</v>
          </cell>
          <cell r="AF106">
            <v>0</v>
          </cell>
        </row>
        <row r="107">
          <cell r="A107" t="str">
            <v>2</v>
          </cell>
          <cell r="M107" t="str">
            <v>Прочее</v>
          </cell>
          <cell r="O107">
            <v>27.92</v>
          </cell>
          <cell r="R107">
            <v>0</v>
          </cell>
          <cell r="AD107">
            <v>0</v>
          </cell>
          <cell r="AE107">
            <v>0</v>
          </cell>
          <cell r="AF107">
            <v>0</v>
          </cell>
        </row>
        <row r="108">
          <cell r="A108" t="str">
            <v>2</v>
          </cell>
          <cell r="M108" t="str">
            <v>Переоценка на 31.12.XX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</row>
        <row r="109">
          <cell r="A109" t="str">
            <v>2</v>
          </cell>
          <cell r="M109" t="str">
            <v>Здания</v>
          </cell>
        </row>
        <row r="110">
          <cell r="A110" t="str">
            <v>2</v>
          </cell>
          <cell r="M110" t="str">
            <v>Сооружения и передаточные устройства</v>
          </cell>
        </row>
        <row r="111">
          <cell r="A111" t="str">
            <v>2</v>
          </cell>
          <cell r="M111" t="str">
            <v>Машины и оборудование</v>
          </cell>
        </row>
        <row r="112">
          <cell r="A112" t="str">
            <v>2</v>
          </cell>
          <cell r="M112" t="str">
            <v>Транспорт</v>
          </cell>
        </row>
        <row r="113">
          <cell r="A113" t="str">
            <v>2</v>
          </cell>
          <cell r="M113" t="str">
            <v>Прочее</v>
          </cell>
        </row>
      </sheetData>
      <sheetData sheetId="21">
        <row r="15">
          <cell r="O15" t="str">
            <v>Принято органом регулирования</v>
          </cell>
          <cell r="P15" t="str">
            <v>Факт по данным организации</v>
          </cell>
          <cell r="Q15" t="str">
            <v>Факт, принятый органом регулирования</v>
          </cell>
          <cell r="R15" t="str">
            <v>Принято органом регулирования</v>
          </cell>
          <cell r="S15" t="str">
            <v>Предложение организации</v>
          </cell>
          <cell r="T15" t="str">
            <v>Предложение организации</v>
          </cell>
          <cell r="U15" t="str">
            <v>Предложение организации</v>
          </cell>
          <cell r="V15" t="str">
            <v>Предложение организации</v>
          </cell>
          <cell r="W15" t="str">
            <v>Предложение организации</v>
          </cell>
          <cell r="X15" t="str">
            <v>Предложение организации</v>
          </cell>
          <cell r="Y15" t="str">
            <v>Предложение организации</v>
          </cell>
          <cell r="Z15" t="str">
            <v>Предложение организации</v>
          </cell>
          <cell r="AA15" t="str">
            <v>Предложение организации</v>
          </cell>
          <cell r="AB15" t="str">
            <v>Предложение организации</v>
          </cell>
          <cell r="AC15" t="str">
            <v>Принято органом регулирования</v>
          </cell>
          <cell r="AD15" t="str">
            <v>Принято органом регулирования</v>
          </cell>
          <cell r="AE15" t="str">
            <v>Принято органом регулирования</v>
          </cell>
          <cell r="AF15" t="str">
            <v>Принято органом регулирования</v>
          </cell>
          <cell r="AG15" t="str">
            <v>Принято органом регулирования</v>
          </cell>
          <cell r="AH15" t="str">
            <v>Принято органом регулирования</v>
          </cell>
          <cell r="AI15" t="str">
            <v>Принято органом регулирования</v>
          </cell>
          <cell r="AJ15" t="str">
            <v>Принято органом регулирования</v>
          </cell>
          <cell r="AK15" t="str">
            <v>Принято органом регулирования</v>
          </cell>
          <cell r="AL15" t="str">
            <v>Принято органом регулирования</v>
          </cell>
        </row>
        <row r="16">
          <cell r="A16" t="str">
            <v>1</v>
          </cell>
        </row>
        <row r="17">
          <cell r="A17" t="str">
            <v>1</v>
          </cell>
          <cell r="M17" t="str">
            <v>Арендная и концессионная плата. Лизинговые платежи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</row>
        <row r="18">
          <cell r="A18" t="str">
            <v>1</v>
          </cell>
          <cell r="M18" t="str">
            <v>Аренда имущества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</row>
        <row r="19">
          <cell r="A19" t="str">
            <v>1</v>
          </cell>
          <cell r="M19" t="str">
            <v>Аренда муниципальной или государственной собственности</v>
          </cell>
          <cell r="O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</row>
        <row r="20">
          <cell r="A20" t="str">
            <v>1</v>
          </cell>
          <cell r="M20" t="str">
            <v>Аренда частной собственности</v>
          </cell>
          <cell r="O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</row>
        <row r="21">
          <cell r="A21" t="str">
            <v>1</v>
          </cell>
          <cell r="M21" t="str">
            <v>Концессионная плата</v>
          </cell>
          <cell r="O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</row>
        <row r="22">
          <cell r="A22" t="str">
            <v>1</v>
          </cell>
          <cell r="M22" t="str">
            <v>Лизинговые платежи</v>
          </cell>
          <cell r="O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</row>
        <row r="23">
          <cell r="A23" t="str">
            <v>1</v>
          </cell>
          <cell r="M23" t="str">
            <v>Аренда земельных участков</v>
          </cell>
          <cell r="O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</row>
        <row r="24">
          <cell r="A24" t="str">
            <v>2</v>
          </cell>
        </row>
        <row r="25">
          <cell r="A25" t="str">
            <v>2</v>
          </cell>
          <cell r="M25" t="str">
            <v>Арендная и концессионная плата. Лизинговые платежи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</row>
        <row r="26">
          <cell r="A26" t="str">
            <v>2</v>
          </cell>
          <cell r="M26" t="str">
            <v>Аренда имущества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</row>
        <row r="27">
          <cell r="A27" t="str">
            <v>2</v>
          </cell>
          <cell r="M27" t="str">
            <v>Аренда муниципальной или государственной собственности</v>
          </cell>
          <cell r="O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</row>
        <row r="28">
          <cell r="A28" t="str">
            <v>2</v>
          </cell>
          <cell r="M28" t="str">
            <v>Аренда частной собственности</v>
          </cell>
          <cell r="O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</row>
        <row r="29">
          <cell r="A29" t="str">
            <v>2</v>
          </cell>
          <cell r="M29" t="str">
            <v>Концессионная плата</v>
          </cell>
          <cell r="O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</row>
        <row r="30">
          <cell r="A30" t="str">
            <v>2</v>
          </cell>
          <cell r="M30" t="str">
            <v>Лизинговые платежи</v>
          </cell>
          <cell r="O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</row>
        <row r="31">
          <cell r="A31" t="str">
            <v>2</v>
          </cell>
          <cell r="M31" t="str">
            <v>Аренда земельных участков</v>
          </cell>
          <cell r="O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</row>
      </sheetData>
      <sheetData sheetId="22">
        <row r="15">
          <cell r="O15" t="str">
            <v>Принято органом регулирования</v>
          </cell>
          <cell r="P15" t="str">
            <v>Факт по данным организации</v>
          </cell>
          <cell r="Q15" t="str">
            <v>Факт, принятый органом регулирования</v>
          </cell>
          <cell r="R15" t="str">
            <v>Принято органом регулирования</v>
          </cell>
          <cell r="S15" t="str">
            <v>Предложение организации</v>
          </cell>
          <cell r="T15" t="str">
            <v>Предложение организации</v>
          </cell>
          <cell r="U15" t="str">
            <v>Предложение организации</v>
          </cell>
          <cell r="V15" t="str">
            <v>Предложение организации</v>
          </cell>
          <cell r="W15" t="str">
            <v>Предложение организации</v>
          </cell>
          <cell r="X15" t="str">
            <v>Предложение организации</v>
          </cell>
          <cell r="Y15" t="str">
            <v>Предложение организации</v>
          </cell>
          <cell r="Z15" t="str">
            <v>Предложение организации</v>
          </cell>
          <cell r="AA15" t="str">
            <v>Предложение организации</v>
          </cell>
          <cell r="AB15" t="str">
            <v>Предложение организации</v>
          </cell>
          <cell r="AC15" t="str">
            <v>Принято органом регулирования</v>
          </cell>
          <cell r="AD15" t="str">
            <v>Принято органом регулирования</v>
          </cell>
          <cell r="AE15" t="str">
            <v>Принято органом регулирования</v>
          </cell>
          <cell r="AF15" t="str">
            <v>Принято органом регулирования</v>
          </cell>
          <cell r="AG15" t="str">
            <v>Принято органом регулирования</v>
          </cell>
          <cell r="AH15" t="str">
            <v>Принято органом регулирования</v>
          </cell>
          <cell r="AI15" t="str">
            <v>Принято органом регулирования</v>
          </cell>
          <cell r="AJ15" t="str">
            <v>Принято органом регулирования</v>
          </cell>
          <cell r="AK15" t="str">
            <v>Принято органом регулирования</v>
          </cell>
          <cell r="AL15" t="str">
            <v>Принято органом регулирования</v>
          </cell>
        </row>
        <row r="16">
          <cell r="A16" t="str">
            <v>1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</row>
        <row r="17">
          <cell r="A17" t="str">
            <v>1</v>
          </cell>
          <cell r="M17" t="str">
            <v>Затраты на холодную воду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</row>
        <row r="18">
          <cell r="A18" t="str">
            <v>1</v>
          </cell>
        </row>
        <row r="19">
          <cell r="A19" t="str">
            <v>1</v>
          </cell>
          <cell r="M19" t="str">
            <v>Добавить поставщика</v>
          </cell>
        </row>
        <row r="20">
          <cell r="A20" t="str">
            <v>1</v>
          </cell>
          <cell r="M20" t="str">
            <v>Затраты на транспортировку холодной воды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</row>
        <row r="21">
          <cell r="A21" t="str">
            <v>1</v>
          </cell>
        </row>
        <row r="22">
          <cell r="A22" t="str">
            <v>1</v>
          </cell>
          <cell r="M22" t="str">
            <v>Добавить поставщика</v>
          </cell>
        </row>
        <row r="23">
          <cell r="A23" t="str">
            <v>1</v>
          </cell>
          <cell r="M23" t="str">
            <v>Затраты на водоотведение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</row>
        <row r="24">
          <cell r="A24" t="str">
            <v>1</v>
          </cell>
        </row>
        <row r="25">
          <cell r="A25" t="str">
            <v>1</v>
          </cell>
          <cell r="M25" t="str">
            <v>Добавить поставщика</v>
          </cell>
        </row>
        <row r="26">
          <cell r="A26" t="str">
            <v>1</v>
          </cell>
          <cell r="M26" t="str">
            <v>Затраты на транспортировку сточных вод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</row>
        <row r="27">
          <cell r="A27" t="str">
            <v>1</v>
          </cell>
        </row>
        <row r="28">
          <cell r="A28" t="str">
            <v>1</v>
          </cell>
          <cell r="M28" t="str">
            <v>Добавить поставщика</v>
          </cell>
        </row>
        <row r="29">
          <cell r="A29" t="str">
            <v>1</v>
          </cell>
          <cell r="M29" t="str">
            <v>Затраты на очистку сточных вод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</row>
        <row r="30">
          <cell r="A30" t="str">
            <v>1</v>
          </cell>
        </row>
        <row r="31">
          <cell r="A31" t="str">
            <v>1</v>
          </cell>
          <cell r="M31" t="str">
            <v>Добавить поставщика</v>
          </cell>
        </row>
        <row r="32">
          <cell r="A32" t="str">
            <v>1</v>
          </cell>
          <cell r="M32" t="str">
            <v>Затраты на тепловую энергию</v>
          </cell>
          <cell r="O32">
            <v>0</v>
          </cell>
          <cell r="R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</row>
        <row r="33">
          <cell r="A33" t="str">
            <v>1</v>
          </cell>
          <cell r="M33" t="str">
            <v>Затраты на теплоноситель</v>
          </cell>
          <cell r="O33">
            <v>0</v>
          </cell>
          <cell r="R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</row>
        <row r="34">
          <cell r="A34" t="str">
            <v>1</v>
          </cell>
          <cell r="M34" t="str">
            <v>Затраты на горячую воду</v>
          </cell>
        </row>
        <row r="35">
          <cell r="A35" t="str">
            <v>2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</row>
        <row r="36">
          <cell r="A36" t="str">
            <v>2</v>
          </cell>
          <cell r="M36" t="str">
            <v>Затраты на холодную воду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</row>
        <row r="37">
          <cell r="A37" t="str">
            <v>2</v>
          </cell>
        </row>
        <row r="38">
          <cell r="A38" t="str">
            <v>2</v>
          </cell>
          <cell r="M38" t="str">
            <v>Добавить поставщика</v>
          </cell>
        </row>
        <row r="39">
          <cell r="A39" t="str">
            <v>2</v>
          </cell>
          <cell r="M39" t="str">
            <v>Затраты на транспортировку холодной воды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</row>
        <row r="40">
          <cell r="A40" t="str">
            <v>2</v>
          </cell>
        </row>
        <row r="41">
          <cell r="A41" t="str">
            <v>2</v>
          </cell>
          <cell r="M41" t="str">
            <v>Добавить поставщика</v>
          </cell>
        </row>
        <row r="42">
          <cell r="A42" t="str">
            <v>2</v>
          </cell>
          <cell r="M42" t="str">
            <v>Затраты на водоотведение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</row>
        <row r="43">
          <cell r="A43" t="str">
            <v>2</v>
          </cell>
        </row>
        <row r="44">
          <cell r="A44" t="str">
            <v>2</v>
          </cell>
          <cell r="M44" t="str">
            <v>Добавить поставщика</v>
          </cell>
        </row>
        <row r="45">
          <cell r="A45" t="str">
            <v>2</v>
          </cell>
          <cell r="M45" t="str">
            <v>Затраты на транспортировку сточных вод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</row>
        <row r="46">
          <cell r="A46" t="str">
            <v>2</v>
          </cell>
        </row>
        <row r="47">
          <cell r="A47" t="str">
            <v>2</v>
          </cell>
          <cell r="M47" t="str">
            <v>Добавить поставщика</v>
          </cell>
        </row>
        <row r="48">
          <cell r="A48" t="str">
            <v>2</v>
          </cell>
          <cell r="M48" t="str">
            <v>Затраты на очистку сточных вод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</row>
        <row r="49">
          <cell r="A49" t="str">
            <v>2</v>
          </cell>
        </row>
        <row r="50">
          <cell r="A50" t="str">
            <v>2</v>
          </cell>
          <cell r="M50" t="str">
            <v>Добавить поставщика</v>
          </cell>
        </row>
        <row r="51">
          <cell r="A51" t="str">
            <v>2</v>
          </cell>
          <cell r="M51" t="str">
            <v>Затраты на тепловую энергию</v>
          </cell>
          <cell r="O51">
            <v>0</v>
          </cell>
          <cell r="R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</row>
        <row r="52">
          <cell r="A52" t="str">
            <v>2</v>
          </cell>
          <cell r="M52" t="str">
            <v>Затраты на теплоноситель</v>
          </cell>
          <cell r="O52">
            <v>0</v>
          </cell>
          <cell r="R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</row>
        <row r="53">
          <cell r="A53" t="str">
            <v>2</v>
          </cell>
          <cell r="M53" t="str">
            <v>Затраты на горячую воду</v>
          </cell>
        </row>
      </sheetData>
      <sheetData sheetId="23">
        <row r="15">
          <cell r="O15" t="str">
            <v>Принято органом регулирования</v>
          </cell>
          <cell r="P15" t="str">
            <v>Факт по данным организации</v>
          </cell>
          <cell r="Q15" t="str">
            <v>Факт, принятый органом регулирования</v>
          </cell>
          <cell r="R15" t="str">
            <v>Принято органом регулирования</v>
          </cell>
          <cell r="S15" t="str">
            <v>Предложение организации</v>
          </cell>
          <cell r="T15" t="str">
            <v>Предложение организации</v>
          </cell>
          <cell r="U15" t="str">
            <v>Предложение организации</v>
          </cell>
          <cell r="V15" t="str">
            <v>Предложение организации</v>
          </cell>
          <cell r="W15" t="str">
            <v>Предложение организации</v>
          </cell>
          <cell r="X15" t="str">
            <v>Предложение организации</v>
          </cell>
          <cell r="Y15" t="str">
            <v>Предложение организации</v>
          </cell>
          <cell r="Z15" t="str">
            <v>Предложение организации</v>
          </cell>
          <cell r="AA15" t="str">
            <v>Предложение организации</v>
          </cell>
          <cell r="AB15" t="str">
            <v>Предложение организации</v>
          </cell>
          <cell r="AC15" t="str">
            <v>Принято органом регулирования</v>
          </cell>
          <cell r="AD15" t="str">
            <v>Принято органом регулирования</v>
          </cell>
          <cell r="AE15" t="str">
            <v>Принято органом регулирования</v>
          </cell>
          <cell r="AF15" t="str">
            <v>Принято органом регулирования</v>
          </cell>
          <cell r="AG15" t="str">
            <v>Принято органом регулирования</v>
          </cell>
          <cell r="AH15" t="str">
            <v>Принято органом регулирования</v>
          </cell>
          <cell r="AI15" t="str">
            <v>Принято органом регулирования</v>
          </cell>
          <cell r="AJ15" t="str">
            <v>Принято органом регулирования</v>
          </cell>
          <cell r="AK15" t="str">
            <v>Принято органом регулирования</v>
          </cell>
          <cell r="AL15" t="str">
            <v>Принято органом регулирования</v>
          </cell>
        </row>
        <row r="16">
          <cell r="A16" t="str">
            <v>1</v>
          </cell>
        </row>
        <row r="17">
          <cell r="A17" t="str">
            <v>1</v>
          </cell>
          <cell r="M17" t="str">
            <v>Налоги и платежи, относимые на указанный вид деятельности</v>
          </cell>
          <cell r="O17">
            <v>123.22999999999999</v>
          </cell>
          <cell r="P17">
            <v>62.47</v>
          </cell>
          <cell r="Q17">
            <v>38.770000000000003</v>
          </cell>
          <cell r="R17">
            <v>157.94999999999999</v>
          </cell>
          <cell r="S17">
            <v>169.22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169.22</v>
          </cell>
          <cell r="AD17">
            <v>191.89999999999998</v>
          </cell>
          <cell r="AE17">
            <v>120.48</v>
          </cell>
          <cell r="AF17">
            <v>123.72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</row>
        <row r="18">
          <cell r="A18" t="str">
            <v>1</v>
          </cell>
          <cell r="M18" t="str">
            <v>Транспортный налог</v>
          </cell>
          <cell r="O18">
            <v>0</v>
          </cell>
          <cell r="R18">
            <v>0</v>
          </cell>
          <cell r="AD18">
            <v>0</v>
          </cell>
          <cell r="AE18">
            <v>0</v>
          </cell>
          <cell r="AF18">
            <v>0</v>
          </cell>
        </row>
        <row r="19">
          <cell r="A19" t="str">
            <v>1</v>
          </cell>
          <cell r="M19" t="str">
            <v>Земельный налог</v>
          </cell>
          <cell r="O19">
            <v>0</v>
          </cell>
          <cell r="R19">
            <v>0</v>
          </cell>
          <cell r="AD19">
            <v>0</v>
          </cell>
          <cell r="AE19">
            <v>0</v>
          </cell>
          <cell r="AF19">
            <v>0</v>
          </cell>
        </row>
        <row r="20">
          <cell r="A20" t="str">
            <v>1</v>
          </cell>
          <cell r="M20" t="str">
            <v>Плата за негативное воздействие на окружающую среду</v>
          </cell>
          <cell r="O20">
            <v>0</v>
          </cell>
          <cell r="R20">
            <v>0</v>
          </cell>
          <cell r="AD20">
            <v>0</v>
          </cell>
          <cell r="AE20">
            <v>0</v>
          </cell>
          <cell r="AF20">
            <v>0</v>
          </cell>
        </row>
        <row r="21">
          <cell r="A21" t="str">
            <v>1</v>
          </cell>
          <cell r="M21" t="str">
            <v>Водный налог</v>
          </cell>
          <cell r="O21">
            <v>43.41</v>
          </cell>
          <cell r="P21">
            <v>62.47</v>
          </cell>
          <cell r="Q21">
            <v>38.770000000000003</v>
          </cell>
          <cell r="R21">
            <v>68.25</v>
          </cell>
          <cell r="S21">
            <v>58.62</v>
          </cell>
          <cell r="AC21">
            <v>58.62</v>
          </cell>
          <cell r="AD21">
            <v>73.819999999999993</v>
          </cell>
          <cell r="AE21">
            <v>0</v>
          </cell>
          <cell r="AF21">
            <v>0</v>
          </cell>
        </row>
        <row r="22">
          <cell r="A22" t="str">
            <v>1</v>
          </cell>
          <cell r="M22" t="str">
            <v>Плата за пользование водным объектом</v>
          </cell>
          <cell r="O22">
            <v>0</v>
          </cell>
          <cell r="R22">
            <v>0</v>
          </cell>
          <cell r="AD22">
            <v>0</v>
          </cell>
          <cell r="AE22">
            <v>0</v>
          </cell>
          <cell r="AF22">
            <v>0</v>
          </cell>
        </row>
        <row r="23">
          <cell r="A23" t="str">
            <v>1</v>
          </cell>
          <cell r="M23" t="str">
            <v>Налог на имущество</v>
          </cell>
          <cell r="O23">
            <v>0</v>
          </cell>
          <cell r="R23">
            <v>0</v>
          </cell>
          <cell r="AD23">
            <v>0</v>
          </cell>
          <cell r="AE23">
            <v>0</v>
          </cell>
          <cell r="AF23">
            <v>0</v>
          </cell>
        </row>
        <row r="24">
          <cell r="A24" t="str">
            <v>1</v>
          </cell>
          <cell r="M24" t="str">
            <v>Налог на прибыль</v>
          </cell>
          <cell r="O24">
            <v>0</v>
          </cell>
          <cell r="R24">
            <v>0</v>
          </cell>
          <cell r="AD24">
            <v>0</v>
          </cell>
          <cell r="AE24">
            <v>0</v>
          </cell>
          <cell r="AF24">
            <v>0</v>
          </cell>
        </row>
        <row r="25">
          <cell r="A25" t="str">
            <v>1</v>
          </cell>
          <cell r="M25" t="str">
            <v>Единый налог при упрощенной системе налогообложения</v>
          </cell>
          <cell r="O25">
            <v>79.819999999999993</v>
          </cell>
          <cell r="R25">
            <v>89.7</v>
          </cell>
          <cell r="S25">
            <v>110.6</v>
          </cell>
          <cell r="AC25">
            <v>110.6</v>
          </cell>
          <cell r="AD25">
            <v>118.08</v>
          </cell>
          <cell r="AE25">
            <v>120.48</v>
          </cell>
          <cell r="AF25">
            <v>123.72</v>
          </cell>
        </row>
        <row r="26">
          <cell r="A26" t="str">
            <v>1</v>
          </cell>
          <cell r="M26" t="str">
            <v>Прочие налоги и сборы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</row>
        <row r="27">
          <cell r="A27" t="str">
            <v>1</v>
          </cell>
        </row>
        <row r="28">
          <cell r="A28" t="str">
            <v>1</v>
          </cell>
          <cell r="M28" t="str">
            <v>Добавить</v>
          </cell>
        </row>
        <row r="29">
          <cell r="A29" t="str">
            <v>2</v>
          </cell>
        </row>
        <row r="30">
          <cell r="A30" t="str">
            <v>2</v>
          </cell>
          <cell r="M30" t="str">
            <v>Налоги и платежи, относимые на указанный вид деятельности</v>
          </cell>
          <cell r="O30">
            <v>11.44</v>
          </cell>
          <cell r="P30">
            <v>0</v>
          </cell>
          <cell r="Q30">
            <v>0</v>
          </cell>
          <cell r="R30">
            <v>15.97</v>
          </cell>
          <cell r="S30">
            <v>18.84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18.84</v>
          </cell>
          <cell r="AD30">
            <v>7.8902286136999997</v>
          </cell>
          <cell r="AE30">
            <v>8.1867792980999994</v>
          </cell>
          <cell r="AF30">
            <v>8.4951920099000002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</row>
        <row r="31">
          <cell r="A31" t="str">
            <v>2</v>
          </cell>
          <cell r="M31" t="str">
            <v>Транспортный налог</v>
          </cell>
          <cell r="O31">
            <v>0</v>
          </cell>
          <cell r="R31">
            <v>0</v>
          </cell>
          <cell r="AD31">
            <v>0</v>
          </cell>
          <cell r="AE31">
            <v>0</v>
          </cell>
          <cell r="AF31">
            <v>0</v>
          </cell>
        </row>
        <row r="32">
          <cell r="A32" t="str">
            <v>2</v>
          </cell>
          <cell r="M32" t="str">
            <v>Земельный налог</v>
          </cell>
          <cell r="O32">
            <v>0</v>
          </cell>
          <cell r="R32">
            <v>0</v>
          </cell>
          <cell r="AD32">
            <v>0</v>
          </cell>
          <cell r="AE32">
            <v>0</v>
          </cell>
          <cell r="AF32">
            <v>0</v>
          </cell>
        </row>
        <row r="33">
          <cell r="A33" t="str">
            <v>2</v>
          </cell>
          <cell r="M33" t="str">
            <v>Плата за негативное воздействие на окружающую среду</v>
          </cell>
          <cell r="O33">
            <v>0</v>
          </cell>
          <cell r="R33">
            <v>0</v>
          </cell>
          <cell r="AD33">
            <v>0</v>
          </cell>
          <cell r="AE33">
            <v>0</v>
          </cell>
          <cell r="AF33">
            <v>0</v>
          </cell>
        </row>
        <row r="34">
          <cell r="A34" t="str">
            <v>2</v>
          </cell>
          <cell r="M34" t="str">
            <v>Водный налог</v>
          </cell>
          <cell r="R34">
            <v>0</v>
          </cell>
          <cell r="AD34">
            <v>0</v>
          </cell>
          <cell r="AE34">
            <v>0</v>
          </cell>
          <cell r="AF34">
            <v>0</v>
          </cell>
        </row>
        <row r="35">
          <cell r="A35" t="str">
            <v>2</v>
          </cell>
          <cell r="M35" t="str">
            <v>Плата за пользование водным объектом</v>
          </cell>
          <cell r="O35">
            <v>0</v>
          </cell>
          <cell r="R35">
            <v>0</v>
          </cell>
          <cell r="AD35">
            <v>0</v>
          </cell>
          <cell r="AE35">
            <v>0</v>
          </cell>
          <cell r="AF35">
            <v>0</v>
          </cell>
        </row>
        <row r="36">
          <cell r="A36" t="str">
            <v>2</v>
          </cell>
          <cell r="M36" t="str">
            <v>Налог на имущество</v>
          </cell>
        </row>
        <row r="37">
          <cell r="A37" t="str">
            <v>2</v>
          </cell>
          <cell r="M37" t="str">
            <v>Налог на прибыль</v>
          </cell>
          <cell r="O37">
            <v>0</v>
          </cell>
          <cell r="R37">
            <v>0</v>
          </cell>
          <cell r="AD37">
            <v>0</v>
          </cell>
          <cell r="AE37">
            <v>0</v>
          </cell>
          <cell r="AF37">
            <v>0</v>
          </cell>
        </row>
        <row r="38">
          <cell r="A38" t="str">
            <v>2</v>
          </cell>
          <cell r="M38" t="str">
            <v>Единый налог при упрощенной системе налогообложения</v>
          </cell>
          <cell r="O38">
            <v>11.44</v>
          </cell>
          <cell r="R38">
            <v>15.97</v>
          </cell>
          <cell r="S38">
            <v>18.84</v>
          </cell>
          <cell r="AC38">
            <v>18.84</v>
          </cell>
          <cell r="AD38">
            <v>7.8902286136999997</v>
          </cell>
          <cell r="AE38">
            <v>8.1867792980999994</v>
          </cell>
          <cell r="AF38">
            <v>8.4951920099000002</v>
          </cell>
        </row>
        <row r="39">
          <cell r="A39" t="str">
            <v>2</v>
          </cell>
          <cell r="M39" t="str">
            <v>Прочие налоги и сборы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</row>
        <row r="40">
          <cell r="A40" t="str">
            <v>2</v>
          </cell>
        </row>
        <row r="41">
          <cell r="A41" t="str">
            <v>2</v>
          </cell>
          <cell r="M41" t="str">
            <v>Добавить</v>
          </cell>
        </row>
      </sheetData>
      <sheetData sheetId="24">
        <row r="17">
          <cell r="Q17" t="str">
            <v>Объем фактического ввода объектов системы водоснабжения и водоотведения в эксплуатацию по данным организации</v>
          </cell>
          <cell r="R17" t="str">
            <v>Объем фактического ввода объектов системы водоснабжения и водоотведения в эксплуатацию, принятый органом регулирования</v>
          </cell>
          <cell r="Y17" t="str">
            <v>Предложение организации</v>
          </cell>
          <cell r="Z17" t="str">
            <v>Предложение организации</v>
          </cell>
          <cell r="AA17" t="str">
            <v>Предложение организации</v>
          </cell>
          <cell r="AB17" t="str">
            <v>Предложение организации</v>
          </cell>
          <cell r="AC17" t="str">
            <v>Предложение организации</v>
          </cell>
          <cell r="AD17" t="str">
            <v>Предложение организации</v>
          </cell>
          <cell r="AI17" t="str">
            <v>Принято органом регулирования</v>
          </cell>
          <cell r="AJ17" t="str">
            <v>Принято органом регулирования</v>
          </cell>
          <cell r="AK17" t="str">
            <v>Принято органом регулирования</v>
          </cell>
          <cell r="AL17" t="str">
            <v>Принято органом регулирования</v>
          </cell>
          <cell r="AM17" t="str">
            <v>Принято органом регулирования</v>
          </cell>
          <cell r="AN17" t="str">
            <v>Принято органом регулирования</v>
          </cell>
        </row>
        <row r="18">
          <cell r="M18" t="str">
            <v>Источники финансирования инвестиционной программы, всего</v>
          </cell>
          <cell r="Q18">
            <v>0</v>
          </cell>
          <cell r="R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</row>
        <row r="19">
          <cell r="M19" t="str">
            <v>Собственные средства</v>
          </cell>
          <cell r="Q19">
            <v>0</v>
          </cell>
          <cell r="R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</row>
        <row r="20">
          <cell r="M20" t="str">
            <v>Амортизационные отчисления</v>
          </cell>
        </row>
        <row r="21">
          <cell r="M21" t="str">
            <v>Прибыль на капвложения</v>
          </cell>
        </row>
        <row r="22">
          <cell r="M22" t="str">
            <v>Прочие собственные средства</v>
          </cell>
        </row>
        <row r="23">
          <cell r="M23" t="str">
            <v>За счет платы за технологическое присоединение</v>
          </cell>
        </row>
        <row r="24">
          <cell r="M24" t="str">
            <v>Привлеченные средства</v>
          </cell>
          <cell r="Q24">
            <v>0</v>
          </cell>
          <cell r="R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</row>
        <row r="25">
          <cell r="M25" t="str">
            <v>Кредиты</v>
          </cell>
        </row>
        <row r="26">
          <cell r="M26" t="str">
            <v>Займы</v>
          </cell>
        </row>
        <row r="27">
          <cell r="M27" t="str">
            <v>Прочие привлеченные средства</v>
          </cell>
        </row>
        <row r="28">
          <cell r="M28" t="str">
            <v>Бюджетное финансирование</v>
          </cell>
          <cell r="Q28">
            <v>0</v>
          </cell>
          <cell r="R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</row>
        <row r="29">
          <cell r="M29" t="str">
            <v>Федеральный бюджет</v>
          </cell>
        </row>
        <row r="30">
          <cell r="M30" t="str">
            <v>Бюджет субъекта РФ</v>
          </cell>
        </row>
        <row r="31">
          <cell r="M31" t="str">
            <v>Бюджет муниципального образования</v>
          </cell>
        </row>
        <row r="32">
          <cell r="M32" t="str">
            <v>Прочие источники финансирования</v>
          </cell>
          <cell r="Q32">
            <v>0</v>
          </cell>
          <cell r="R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</row>
        <row r="33">
          <cell r="M33" t="str">
            <v>Лизинг</v>
          </cell>
        </row>
        <row r="34">
          <cell r="M34" t="str">
            <v>Доход от взимания платы за нарушение нормативов по объёму и (или) составу сточных вод</v>
          </cell>
        </row>
        <row r="35">
          <cell r="M35" t="str">
            <v>Доход от взимания платы за негативное воздействие на работу централизованной системы водоотведения</v>
          </cell>
        </row>
        <row r="36">
          <cell r="M36" t="str">
            <v>Прочие</v>
          </cell>
        </row>
        <row r="37">
          <cell r="M37" t="str">
            <v>График возврата и обслуживания заемных средств из тарифной выручки</v>
          </cell>
          <cell r="Q37">
            <v>0</v>
          </cell>
          <cell r="R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</row>
        <row r="38">
          <cell r="M38" t="str">
            <v>погашение займов и кредитов из нормативной прибыли</v>
          </cell>
        </row>
        <row r="39">
          <cell r="M39" t="str">
            <v>уплата процентов по кредитам из нормативной прибыли</v>
          </cell>
        </row>
        <row r="40">
          <cell r="M40" t="str">
            <v>погашение займов и кредитов из амортизации</v>
          </cell>
        </row>
        <row r="41">
          <cell r="A41" t="str">
            <v>1</v>
          </cell>
        </row>
        <row r="42">
          <cell r="A42" t="str">
            <v>1</v>
          </cell>
          <cell r="M42" t="str">
            <v>Источники финансирования инвестиционной программы, всего</v>
          </cell>
          <cell r="Q42">
            <v>0</v>
          </cell>
          <cell r="R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</row>
        <row r="43">
          <cell r="A43" t="str">
            <v>1</v>
          </cell>
          <cell r="M43" t="str">
            <v>Собственные средства</v>
          </cell>
          <cell r="Q43">
            <v>0</v>
          </cell>
          <cell r="R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</row>
        <row r="44">
          <cell r="A44" t="str">
            <v>1</v>
          </cell>
          <cell r="M44" t="str">
            <v>Амортизационные отчисления</v>
          </cell>
        </row>
        <row r="45">
          <cell r="A45" t="str">
            <v>1</v>
          </cell>
          <cell r="M45" t="str">
            <v>Прибыль на капвложения</v>
          </cell>
        </row>
        <row r="46">
          <cell r="A46" t="str">
            <v>1</v>
          </cell>
          <cell r="M46" t="str">
            <v>Прочие собственные средства</v>
          </cell>
        </row>
        <row r="47">
          <cell r="A47" t="str">
            <v>1</v>
          </cell>
          <cell r="M47" t="str">
            <v>За счет платы за технологическое присоединение</v>
          </cell>
        </row>
        <row r="48">
          <cell r="A48" t="str">
            <v>1</v>
          </cell>
          <cell r="M48" t="str">
            <v>Привлеченные средства</v>
          </cell>
          <cell r="Q48">
            <v>0</v>
          </cell>
          <cell r="R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</row>
        <row r="49">
          <cell r="A49" t="str">
            <v>1</v>
          </cell>
          <cell r="M49" t="str">
            <v>Кредиты</v>
          </cell>
        </row>
        <row r="50">
          <cell r="A50" t="str">
            <v>1</v>
          </cell>
          <cell r="M50" t="str">
            <v>Займы</v>
          </cell>
        </row>
        <row r="51">
          <cell r="A51" t="str">
            <v>1</v>
          </cell>
          <cell r="M51" t="str">
            <v>Прочие привлеченные средства</v>
          </cell>
        </row>
        <row r="52">
          <cell r="A52" t="str">
            <v>1</v>
          </cell>
          <cell r="M52" t="str">
            <v>Бюджетное финансирование</v>
          </cell>
          <cell r="Q52">
            <v>0</v>
          </cell>
          <cell r="R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</row>
        <row r="53">
          <cell r="A53" t="str">
            <v>1</v>
          </cell>
          <cell r="M53" t="str">
            <v>Федеральный бюджет</v>
          </cell>
        </row>
        <row r="54">
          <cell r="A54" t="str">
            <v>1</v>
          </cell>
          <cell r="M54" t="str">
            <v>Бюджет субъекта РФ</v>
          </cell>
        </row>
        <row r="55">
          <cell r="A55" t="str">
            <v>1</v>
          </cell>
          <cell r="M55" t="str">
            <v>Бюджет муниципального образования</v>
          </cell>
        </row>
        <row r="56">
          <cell r="A56" t="str">
            <v>1</v>
          </cell>
          <cell r="M56" t="str">
            <v>Прочие источники финансирования</v>
          </cell>
          <cell r="Q56">
            <v>0</v>
          </cell>
          <cell r="R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</row>
        <row r="57">
          <cell r="A57" t="str">
            <v>1</v>
          </cell>
          <cell r="M57" t="str">
            <v>Лизинг</v>
          </cell>
        </row>
        <row r="58">
          <cell r="A58" t="str">
            <v>1</v>
          </cell>
          <cell r="M58" t="str">
            <v>Доход от взимания платы за нарушение нормативов по объёму и (или) составу сточных вод</v>
          </cell>
        </row>
        <row r="59">
          <cell r="A59" t="str">
            <v>1</v>
          </cell>
          <cell r="M59" t="str">
            <v>Доход от взимания платы за негативное воздействие на работу централизованной системы водоотведения</v>
          </cell>
        </row>
        <row r="60">
          <cell r="A60" t="str">
            <v>1</v>
          </cell>
          <cell r="M60" t="str">
            <v>Прочие</v>
          </cell>
        </row>
        <row r="61">
          <cell r="A61" t="str">
            <v>1</v>
          </cell>
          <cell r="M61" t="str">
            <v>График возврата и обслуживания заемных средств из тарифной выручки</v>
          </cell>
          <cell r="Q61">
            <v>0</v>
          </cell>
          <cell r="R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</row>
        <row r="62">
          <cell r="A62" t="str">
            <v>1</v>
          </cell>
          <cell r="M62" t="str">
            <v>погашение займов и кредитов из нормативной прибыли</v>
          </cell>
        </row>
        <row r="63">
          <cell r="A63" t="str">
            <v>1</v>
          </cell>
          <cell r="M63" t="str">
            <v>уплата процентов по кредитам из нормативной прибыли</v>
          </cell>
        </row>
        <row r="64">
          <cell r="A64" t="str">
            <v>1</v>
          </cell>
          <cell r="M64" t="str">
            <v>погашение займов и кредитов из амортизации</v>
          </cell>
        </row>
        <row r="65">
          <cell r="A65" t="str">
            <v>2</v>
          </cell>
        </row>
        <row r="66">
          <cell r="A66" t="str">
            <v>2</v>
          </cell>
          <cell r="M66" t="str">
            <v>Источники финансирования инвестиционной программы, всего</v>
          </cell>
          <cell r="Q66">
            <v>0</v>
          </cell>
          <cell r="R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</row>
        <row r="67">
          <cell r="A67" t="str">
            <v>2</v>
          </cell>
          <cell r="M67" t="str">
            <v>Собственные средства</v>
          </cell>
          <cell r="Q67">
            <v>0</v>
          </cell>
          <cell r="R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</row>
        <row r="68">
          <cell r="A68" t="str">
            <v>2</v>
          </cell>
          <cell r="M68" t="str">
            <v>Амортизационные отчисления</v>
          </cell>
        </row>
        <row r="69">
          <cell r="A69" t="str">
            <v>2</v>
          </cell>
          <cell r="M69" t="str">
            <v>Прибыль на капвложения</v>
          </cell>
        </row>
        <row r="70">
          <cell r="A70" t="str">
            <v>2</v>
          </cell>
          <cell r="M70" t="str">
            <v>Прочие собственные средства</v>
          </cell>
        </row>
        <row r="71">
          <cell r="A71" t="str">
            <v>2</v>
          </cell>
          <cell r="M71" t="str">
            <v>За счет платы за технологическое присоединение</v>
          </cell>
        </row>
        <row r="72">
          <cell r="A72" t="str">
            <v>2</v>
          </cell>
          <cell r="M72" t="str">
            <v>Привлеченные средства</v>
          </cell>
          <cell r="Q72">
            <v>0</v>
          </cell>
          <cell r="R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</row>
        <row r="73">
          <cell r="A73" t="str">
            <v>2</v>
          </cell>
          <cell r="M73" t="str">
            <v>Кредиты</v>
          </cell>
        </row>
        <row r="74">
          <cell r="A74" t="str">
            <v>2</v>
          </cell>
          <cell r="M74" t="str">
            <v>Займы</v>
          </cell>
        </row>
        <row r="75">
          <cell r="A75" t="str">
            <v>2</v>
          </cell>
          <cell r="M75" t="str">
            <v>Прочие привлеченные средства</v>
          </cell>
        </row>
        <row r="76">
          <cell r="A76" t="str">
            <v>2</v>
          </cell>
          <cell r="M76" t="str">
            <v>Бюджетное финансирование</v>
          </cell>
          <cell r="Q76">
            <v>0</v>
          </cell>
          <cell r="R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</row>
        <row r="77">
          <cell r="A77" t="str">
            <v>2</v>
          </cell>
          <cell r="M77" t="str">
            <v>Федеральный бюджет</v>
          </cell>
        </row>
        <row r="78">
          <cell r="A78" t="str">
            <v>2</v>
          </cell>
          <cell r="M78" t="str">
            <v>Бюджет субъекта РФ</v>
          </cell>
        </row>
        <row r="79">
          <cell r="A79" t="str">
            <v>2</v>
          </cell>
          <cell r="M79" t="str">
            <v>Бюджет муниципального образования</v>
          </cell>
        </row>
        <row r="80">
          <cell r="A80" t="str">
            <v>2</v>
          </cell>
          <cell r="M80" t="str">
            <v>Прочие источники финансирования</v>
          </cell>
          <cell r="Q80">
            <v>0</v>
          </cell>
          <cell r="R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</row>
        <row r="81">
          <cell r="A81" t="str">
            <v>2</v>
          </cell>
          <cell r="M81" t="str">
            <v>Лизинг</v>
          </cell>
        </row>
        <row r="82">
          <cell r="A82" t="str">
            <v>2</v>
          </cell>
          <cell r="M82" t="str">
            <v>Доход от взимания платы за нарушение нормативов по объёму и (или) составу сточных вод</v>
          </cell>
        </row>
        <row r="83">
          <cell r="A83" t="str">
            <v>2</v>
          </cell>
          <cell r="M83" t="str">
            <v>Доход от взимания платы за негативное воздействие на работу централизованной системы водоотведения</v>
          </cell>
        </row>
        <row r="84">
          <cell r="A84" t="str">
            <v>2</v>
          </cell>
          <cell r="M84" t="str">
            <v>Прочие</v>
          </cell>
        </row>
        <row r="85">
          <cell r="A85" t="str">
            <v>2</v>
          </cell>
          <cell r="M85" t="str">
            <v>График возврата и обслуживания заемных средств из тарифной выручки</v>
          </cell>
          <cell r="Q85">
            <v>0</v>
          </cell>
          <cell r="R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</row>
        <row r="86">
          <cell r="A86" t="str">
            <v>2</v>
          </cell>
          <cell r="M86" t="str">
            <v>погашение займов и кредитов из нормативной прибыли</v>
          </cell>
        </row>
        <row r="87">
          <cell r="A87" t="str">
            <v>2</v>
          </cell>
          <cell r="M87" t="str">
            <v>уплата процентов по кредитам из нормативной прибыли</v>
          </cell>
        </row>
        <row r="88">
          <cell r="A88" t="str">
            <v>2</v>
          </cell>
          <cell r="M88" t="str">
            <v>погашение займов и кредитов из амортизации</v>
          </cell>
        </row>
        <row r="89">
          <cell r="M89" t="str">
            <v>* данные без НДС</v>
          </cell>
        </row>
      </sheetData>
      <sheetData sheetId="25">
        <row r="15">
          <cell r="S15" t="str">
            <v>Предложения организации</v>
          </cell>
          <cell r="T15" t="str">
            <v>Предложения организации</v>
          </cell>
          <cell r="U15" t="str">
            <v>Предложения организации</v>
          </cell>
          <cell r="V15" t="str">
            <v>Предложения организации</v>
          </cell>
          <cell r="W15" t="str">
            <v>Предложения организации</v>
          </cell>
          <cell r="X15" t="str">
            <v>Предложения организации</v>
          </cell>
          <cell r="AC15" t="str">
            <v>Принято органом регулирования</v>
          </cell>
          <cell r="AD15" t="str">
            <v>Принято органом регулирования</v>
          </cell>
          <cell r="AE15" t="str">
            <v>Принято органом регулирования</v>
          </cell>
          <cell r="AF15" t="str">
            <v>Принято органом регулирования</v>
          </cell>
          <cell r="AG15" t="str">
            <v>Принято органом регулирования</v>
          </cell>
          <cell r="AH15" t="str">
            <v>Принято органом регулирования</v>
          </cell>
        </row>
        <row r="16">
          <cell r="A16" t="str">
            <v>1</v>
          </cell>
        </row>
        <row r="17">
          <cell r="A17" t="str">
            <v>1</v>
          </cell>
          <cell r="M17" t="str">
            <v>Экономия расходов всего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</row>
        <row r="18">
          <cell r="A18" t="str">
            <v>1</v>
          </cell>
          <cell r="M18" t="str">
            <v>Экономия операционных расходов</v>
          </cell>
        </row>
        <row r="19">
          <cell r="A19" t="str">
            <v>1</v>
          </cell>
          <cell r="M19" t="str">
            <v>Экономия от снижения потребления электрической энергии (мощности)</v>
          </cell>
        </row>
        <row r="20">
          <cell r="A20" t="str">
            <v>1</v>
          </cell>
          <cell r="M20" t="str">
            <v>Экономия от снижения потребления прочих энергетических ресурсов, холодной воды, теплоносителя</v>
          </cell>
        </row>
        <row r="21">
          <cell r="A21" t="str">
            <v>1</v>
          </cell>
          <cell r="M21" t="str">
            <v>Значение индекса потребительских цен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</row>
        <row r="22">
          <cell r="A22" t="str">
            <v>1</v>
          </cell>
          <cell r="M22" t="str">
            <v>Кумулятивное значение индекса потребительских цен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</row>
        <row r="23">
          <cell r="A23" t="str">
            <v>1</v>
          </cell>
          <cell r="M23" t="str">
            <v>Экономия расходов с учетом ИПЦ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</row>
        <row r="24">
          <cell r="A24" t="str">
            <v>2</v>
          </cell>
        </row>
        <row r="25">
          <cell r="A25" t="str">
            <v>2</v>
          </cell>
          <cell r="M25" t="str">
            <v>Экономия расходов всего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</row>
        <row r="26">
          <cell r="A26" t="str">
            <v>2</v>
          </cell>
          <cell r="M26" t="str">
            <v>Экономия операционных расходов</v>
          </cell>
        </row>
        <row r="27">
          <cell r="A27" t="str">
            <v>2</v>
          </cell>
          <cell r="M27" t="str">
            <v>Экономия от снижения потребления электрической энергии (мощности)</v>
          </cell>
        </row>
        <row r="28">
          <cell r="A28" t="str">
            <v>2</v>
          </cell>
          <cell r="M28" t="str">
            <v>Экономия от снижения потребления прочих энергетических ресурсов, холодной воды, теплоносителя</v>
          </cell>
        </row>
        <row r="29">
          <cell r="A29" t="str">
            <v>2</v>
          </cell>
          <cell r="M29" t="str">
            <v>Значение индекса потребительских цен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</row>
        <row r="30">
          <cell r="A30" t="str">
            <v>2</v>
          </cell>
          <cell r="M30" t="str">
            <v>Кумулятивное значение индекса потребительских цен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</row>
        <row r="31">
          <cell r="A31" t="str">
            <v>2</v>
          </cell>
          <cell r="M31" t="str">
            <v>Экономия расходов с учетом ИПЦ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</row>
      </sheetData>
      <sheetData sheetId="26"/>
      <sheetData sheetId="27">
        <row r="15">
          <cell r="P15" t="str">
            <v>Факт по данным организации</v>
          </cell>
          <cell r="Q15" t="str">
            <v>Принято органом регулирования</v>
          </cell>
        </row>
        <row r="16">
          <cell r="A16" t="str">
            <v>1</v>
          </cell>
        </row>
        <row r="17">
          <cell r="A17" t="str">
            <v>1</v>
          </cell>
          <cell r="D17" t="str">
            <v>L1</v>
          </cell>
          <cell r="P17">
            <v>0</v>
          </cell>
          <cell r="Q17">
            <v>0</v>
          </cell>
        </row>
        <row r="18">
          <cell r="A18" t="str">
            <v>1</v>
          </cell>
          <cell r="D18" t="str">
            <v>L1_1</v>
          </cell>
        </row>
        <row r="19">
          <cell r="A19" t="str">
            <v>1</v>
          </cell>
          <cell r="D19" t="str">
            <v>L1_2</v>
          </cell>
          <cell r="P19">
            <v>0</v>
          </cell>
          <cell r="Q19">
            <v>0</v>
          </cell>
        </row>
        <row r="20">
          <cell r="A20" t="str">
            <v>1</v>
          </cell>
          <cell r="D20" t="str">
            <v>L1_2_1</v>
          </cell>
        </row>
        <row r="21">
          <cell r="A21" t="str">
            <v>1</v>
          </cell>
          <cell r="D21" t="str">
            <v>L1_2_2</v>
          </cell>
          <cell r="P21">
            <v>0</v>
          </cell>
          <cell r="Q21">
            <v>0</v>
          </cell>
        </row>
        <row r="22">
          <cell r="A22" t="str">
            <v>1</v>
          </cell>
          <cell r="D22" t="str">
            <v>L1_2_2_1</v>
          </cell>
        </row>
        <row r="23">
          <cell r="A23" t="str">
            <v>1</v>
          </cell>
          <cell r="D23" t="str">
            <v>L1_2_2_2</v>
          </cell>
        </row>
        <row r="24">
          <cell r="A24" t="str">
            <v>1</v>
          </cell>
          <cell r="D24" t="str">
            <v>L1_2_2_3</v>
          </cell>
        </row>
        <row r="25">
          <cell r="A25" t="str">
            <v>1</v>
          </cell>
          <cell r="D25" t="str">
            <v>L1_2_2_4</v>
          </cell>
        </row>
        <row r="26">
          <cell r="A26" t="str">
            <v>1</v>
          </cell>
          <cell r="D26" t="str">
            <v>L1_2_2_5</v>
          </cell>
        </row>
        <row r="27">
          <cell r="A27" t="str">
            <v>1</v>
          </cell>
          <cell r="D27" t="str">
            <v>L1_2_2_6</v>
          </cell>
        </row>
        <row r="28">
          <cell r="A28" t="str">
            <v>1</v>
          </cell>
          <cell r="D28" t="str">
            <v>L1_2_2_7</v>
          </cell>
        </row>
        <row r="29">
          <cell r="A29" t="str">
            <v>1</v>
          </cell>
          <cell r="D29" t="str">
            <v>L1_2_2_8</v>
          </cell>
        </row>
        <row r="30">
          <cell r="A30" t="str">
            <v>1</v>
          </cell>
          <cell r="D30" t="str">
            <v>L1_2_2_9</v>
          </cell>
        </row>
        <row r="31">
          <cell r="A31" t="str">
            <v>1</v>
          </cell>
          <cell r="D31" t="str">
            <v>L1_2_2_10</v>
          </cell>
        </row>
        <row r="32">
          <cell r="A32" t="str">
            <v>1</v>
          </cell>
          <cell r="D32" t="str">
            <v>L1_2_2_11</v>
          </cell>
        </row>
        <row r="33">
          <cell r="A33" t="str">
            <v>1</v>
          </cell>
          <cell r="D33" t="str">
            <v>L1_2_3</v>
          </cell>
        </row>
        <row r="34">
          <cell r="A34" t="str">
            <v>1</v>
          </cell>
          <cell r="D34" t="str">
            <v>L1_2_3_1</v>
          </cell>
        </row>
        <row r="35">
          <cell r="A35" t="str">
            <v>1</v>
          </cell>
          <cell r="D35" t="str">
            <v>L1_2_3_2</v>
          </cell>
        </row>
        <row r="36">
          <cell r="A36" t="str">
            <v>1</v>
          </cell>
          <cell r="D36" t="str">
            <v>L1_2_3_3</v>
          </cell>
        </row>
        <row r="37">
          <cell r="A37" t="str">
            <v>1</v>
          </cell>
          <cell r="D37" t="str">
            <v>L1_2_4</v>
          </cell>
        </row>
        <row r="38">
          <cell r="A38" t="str">
            <v>1</v>
          </cell>
          <cell r="D38" t="str">
            <v>L1_2_5</v>
          </cell>
        </row>
        <row r="39">
          <cell r="A39" t="str">
            <v>1</v>
          </cell>
          <cell r="D39" t="str">
            <v>L1_2_6</v>
          </cell>
        </row>
        <row r="40">
          <cell r="A40" t="str">
            <v>1</v>
          </cell>
          <cell r="D40" t="str">
            <v>L1_2_7_0</v>
          </cell>
        </row>
        <row r="41">
          <cell r="A41" t="str">
            <v>1</v>
          </cell>
          <cell r="D41" t="str">
            <v>L1_2_7</v>
          </cell>
        </row>
        <row r="42">
          <cell r="A42" t="str">
            <v>1</v>
          </cell>
          <cell r="D42" t="str">
            <v>L1_2_8</v>
          </cell>
        </row>
        <row r="43">
          <cell r="A43" t="str">
            <v>1</v>
          </cell>
          <cell r="D43" t="str">
            <v>L1_2_10</v>
          </cell>
        </row>
        <row r="44">
          <cell r="A44" t="str">
            <v>1</v>
          </cell>
          <cell r="D44" t="str">
            <v>L1_2_9</v>
          </cell>
        </row>
        <row r="45">
          <cell r="A45" t="str">
            <v>1</v>
          </cell>
          <cell r="D45" t="str">
            <v>L2</v>
          </cell>
          <cell r="P45">
            <v>0</v>
          </cell>
          <cell r="Q45">
            <v>0</v>
          </cell>
        </row>
        <row r="46">
          <cell r="A46" t="str">
            <v>1</v>
          </cell>
          <cell r="D46" t="str">
            <v>L2_1</v>
          </cell>
          <cell r="P46">
            <v>0</v>
          </cell>
          <cell r="Q46">
            <v>0</v>
          </cell>
        </row>
        <row r="47">
          <cell r="A47" t="str">
            <v>1</v>
          </cell>
          <cell r="D47" t="str">
            <v>L2_1_1</v>
          </cell>
        </row>
        <row r="48">
          <cell r="A48" t="str">
            <v>1</v>
          </cell>
          <cell r="D48" t="str">
            <v>L2_1_2</v>
          </cell>
        </row>
        <row r="49">
          <cell r="A49" t="str">
            <v>1</v>
          </cell>
          <cell r="D49" t="str">
            <v>L3</v>
          </cell>
          <cell r="Q49">
            <v>0</v>
          </cell>
        </row>
        <row r="50">
          <cell r="A50" t="str">
            <v>1</v>
          </cell>
          <cell r="D50" t="str">
            <v>L4</v>
          </cell>
          <cell r="Q50">
            <v>0</v>
          </cell>
        </row>
        <row r="51">
          <cell r="A51" t="str">
            <v>1</v>
          </cell>
          <cell r="D51" t="str">
            <v>L5</v>
          </cell>
          <cell r="Q51">
            <v>0</v>
          </cell>
        </row>
        <row r="52">
          <cell r="A52" t="str">
            <v>1</v>
          </cell>
          <cell r="D52" t="str">
            <v>L6</v>
          </cell>
          <cell r="Q52">
            <v>0</v>
          </cell>
        </row>
        <row r="53">
          <cell r="A53" t="str">
            <v>1</v>
          </cell>
          <cell r="D53" t="str">
            <v>L7</v>
          </cell>
        </row>
        <row r="54">
          <cell r="A54" t="str">
            <v>1</v>
          </cell>
          <cell r="D54" t="str">
            <v>L8</v>
          </cell>
          <cell r="P54">
            <v>0</v>
          </cell>
          <cell r="Q54">
            <v>0</v>
          </cell>
        </row>
        <row r="55">
          <cell r="A55" t="str">
            <v>1</v>
          </cell>
          <cell r="D55" t="str">
            <v>L8_1</v>
          </cell>
          <cell r="Q55">
            <v>0</v>
          </cell>
        </row>
        <row r="56">
          <cell r="A56" t="str">
            <v>1</v>
          </cell>
          <cell r="D56" t="str">
            <v>L8_2</v>
          </cell>
          <cell r="Q56">
            <v>0</v>
          </cell>
        </row>
        <row r="57">
          <cell r="A57" t="str">
            <v>1</v>
          </cell>
          <cell r="D57" t="str">
            <v>L9</v>
          </cell>
          <cell r="Q57">
            <v>0</v>
          </cell>
        </row>
        <row r="58">
          <cell r="A58" t="str">
            <v>1</v>
          </cell>
          <cell r="D58" t="str">
            <v>L10</v>
          </cell>
          <cell r="Q58">
            <v>0</v>
          </cell>
        </row>
        <row r="59">
          <cell r="A59" t="str">
            <v>1</v>
          </cell>
          <cell r="D59" t="str">
            <v>L11</v>
          </cell>
          <cell r="P59">
            <v>0</v>
          </cell>
          <cell r="Q59">
            <v>0</v>
          </cell>
        </row>
        <row r="60">
          <cell r="A60" t="str">
            <v>2</v>
          </cell>
        </row>
        <row r="61">
          <cell r="A61" t="str">
            <v>2</v>
          </cell>
          <cell r="D61" t="str">
            <v>L1</v>
          </cell>
          <cell r="P61">
            <v>0</v>
          </cell>
          <cell r="Q61">
            <v>0</v>
          </cell>
        </row>
        <row r="62">
          <cell r="A62" t="str">
            <v>2</v>
          </cell>
          <cell r="D62" t="str">
            <v>L1_1</v>
          </cell>
        </row>
        <row r="63">
          <cell r="A63" t="str">
            <v>2</v>
          </cell>
          <cell r="D63" t="str">
            <v>L1_2</v>
          </cell>
          <cell r="P63">
            <v>0</v>
          </cell>
          <cell r="Q63">
            <v>0</v>
          </cell>
        </row>
        <row r="64">
          <cell r="A64" t="str">
            <v>2</v>
          </cell>
          <cell r="D64" t="str">
            <v>L1_2_1</v>
          </cell>
        </row>
        <row r="65">
          <cell r="A65" t="str">
            <v>2</v>
          </cell>
          <cell r="D65" t="str">
            <v>L1_2_2</v>
          </cell>
          <cell r="P65">
            <v>0</v>
          </cell>
          <cell r="Q65">
            <v>0</v>
          </cell>
        </row>
        <row r="66">
          <cell r="A66" t="str">
            <v>2</v>
          </cell>
          <cell r="D66" t="str">
            <v>L1_2_2_1</v>
          </cell>
        </row>
        <row r="67">
          <cell r="A67" t="str">
            <v>2</v>
          </cell>
          <cell r="D67" t="str">
            <v>L1_2_2_2</v>
          </cell>
        </row>
        <row r="68">
          <cell r="A68" t="str">
            <v>2</v>
          </cell>
          <cell r="D68" t="str">
            <v>L1_2_2_3</v>
          </cell>
        </row>
        <row r="69">
          <cell r="A69" t="str">
            <v>2</v>
          </cell>
          <cell r="D69" t="str">
            <v>L1_2_2_4</v>
          </cell>
        </row>
        <row r="70">
          <cell r="A70" t="str">
            <v>2</v>
          </cell>
          <cell r="D70" t="str">
            <v>L1_2_2_5</v>
          </cell>
        </row>
        <row r="71">
          <cell r="A71" t="str">
            <v>2</v>
          </cell>
          <cell r="D71" t="str">
            <v>L1_2_2_6</v>
          </cell>
        </row>
        <row r="72">
          <cell r="A72" t="str">
            <v>2</v>
          </cell>
          <cell r="D72" t="str">
            <v>L1_2_2_7</v>
          </cell>
        </row>
        <row r="73">
          <cell r="A73" t="str">
            <v>2</v>
          </cell>
          <cell r="D73" t="str">
            <v>L1_2_2_8</v>
          </cell>
        </row>
        <row r="74">
          <cell r="A74" t="str">
            <v>2</v>
          </cell>
          <cell r="D74" t="str">
            <v>L1_2_2_9</v>
          </cell>
        </row>
        <row r="75">
          <cell r="A75" t="str">
            <v>2</v>
          </cell>
          <cell r="D75" t="str">
            <v>L1_2_2_10</v>
          </cell>
        </row>
        <row r="76">
          <cell r="A76" t="str">
            <v>2</v>
          </cell>
          <cell r="D76" t="str">
            <v>L1_2_2_11</v>
          </cell>
        </row>
        <row r="77">
          <cell r="A77" t="str">
            <v>2</v>
          </cell>
          <cell r="D77" t="str">
            <v>L1_2_3</v>
          </cell>
        </row>
        <row r="78">
          <cell r="A78" t="str">
            <v>2</v>
          </cell>
          <cell r="D78" t="str">
            <v>L1_2_3_1</v>
          </cell>
        </row>
        <row r="79">
          <cell r="A79" t="str">
            <v>2</v>
          </cell>
          <cell r="D79" t="str">
            <v>L1_2_3_2</v>
          </cell>
        </row>
        <row r="80">
          <cell r="A80" t="str">
            <v>2</v>
          </cell>
          <cell r="D80" t="str">
            <v>L1_2_3_3</v>
          </cell>
        </row>
        <row r="81">
          <cell r="A81" t="str">
            <v>2</v>
          </cell>
          <cell r="D81" t="str">
            <v>L1_2_4</v>
          </cell>
        </row>
        <row r="82">
          <cell r="A82" t="str">
            <v>2</v>
          </cell>
          <cell r="D82" t="str">
            <v>L1_2_5</v>
          </cell>
        </row>
        <row r="83">
          <cell r="A83" t="str">
            <v>2</v>
          </cell>
          <cell r="D83" t="str">
            <v>L1_2_6</v>
          </cell>
        </row>
        <row r="84">
          <cell r="A84" t="str">
            <v>2</v>
          </cell>
          <cell r="D84" t="str">
            <v>L1_2_7_0</v>
          </cell>
        </row>
        <row r="85">
          <cell r="A85" t="str">
            <v>2</v>
          </cell>
          <cell r="D85" t="str">
            <v>L1_2_7</v>
          </cell>
        </row>
        <row r="86">
          <cell r="A86" t="str">
            <v>2</v>
          </cell>
          <cell r="D86" t="str">
            <v>L1_2_8</v>
          </cell>
        </row>
        <row r="87">
          <cell r="A87" t="str">
            <v>2</v>
          </cell>
          <cell r="D87" t="str">
            <v>L1_2_10</v>
          </cell>
        </row>
        <row r="88">
          <cell r="A88" t="str">
            <v>2</v>
          </cell>
          <cell r="D88" t="str">
            <v>L1_2_9</v>
          </cell>
        </row>
        <row r="89">
          <cell r="A89" t="str">
            <v>2</v>
          </cell>
          <cell r="D89" t="str">
            <v>L2</v>
          </cell>
          <cell r="P89">
            <v>0</v>
          </cell>
          <cell r="Q89">
            <v>0</v>
          </cell>
        </row>
        <row r="90">
          <cell r="A90" t="str">
            <v>2</v>
          </cell>
          <cell r="D90" t="str">
            <v>L2_1</v>
          </cell>
          <cell r="P90">
            <v>0</v>
          </cell>
          <cell r="Q90">
            <v>0</v>
          </cell>
        </row>
        <row r="91">
          <cell r="A91" t="str">
            <v>2</v>
          </cell>
          <cell r="D91" t="str">
            <v>L2_1_1</v>
          </cell>
        </row>
        <row r="92">
          <cell r="A92" t="str">
            <v>2</v>
          </cell>
          <cell r="D92" t="str">
            <v>L2_1_2</v>
          </cell>
        </row>
        <row r="93">
          <cell r="A93" t="str">
            <v>2</v>
          </cell>
          <cell r="D93" t="str">
            <v>L3</v>
          </cell>
          <cell r="Q93">
            <v>0</v>
          </cell>
        </row>
        <row r="94">
          <cell r="A94" t="str">
            <v>2</v>
          </cell>
          <cell r="D94" t="str">
            <v>L4</v>
          </cell>
          <cell r="Q94">
            <v>0</v>
          </cell>
        </row>
        <row r="95">
          <cell r="A95" t="str">
            <v>2</v>
          </cell>
          <cell r="D95" t="str">
            <v>L5</v>
          </cell>
          <cell r="Q95">
            <v>0</v>
          </cell>
        </row>
        <row r="96">
          <cell r="A96" t="str">
            <v>2</v>
          </cell>
          <cell r="D96" t="str">
            <v>L6</v>
          </cell>
          <cell r="Q96">
            <v>0</v>
          </cell>
        </row>
        <row r="97">
          <cell r="A97" t="str">
            <v>2</v>
          </cell>
          <cell r="D97" t="str">
            <v>L7</v>
          </cell>
        </row>
        <row r="98">
          <cell r="A98" t="str">
            <v>2</v>
          </cell>
          <cell r="D98" t="str">
            <v>L8</v>
          </cell>
          <cell r="P98">
            <v>0</v>
          </cell>
          <cell r="Q98">
            <v>0</v>
          </cell>
        </row>
        <row r="99">
          <cell r="A99" t="str">
            <v>2</v>
          </cell>
          <cell r="D99" t="str">
            <v>L8_1</v>
          </cell>
          <cell r="Q99">
            <v>0</v>
          </cell>
        </row>
        <row r="100">
          <cell r="A100" t="str">
            <v>2</v>
          </cell>
          <cell r="D100" t="str">
            <v>L8_2</v>
          </cell>
          <cell r="Q100">
            <v>0</v>
          </cell>
        </row>
        <row r="101">
          <cell r="A101" t="str">
            <v>2</v>
          </cell>
          <cell r="D101" t="str">
            <v>L9</v>
          </cell>
          <cell r="Q101">
            <v>0</v>
          </cell>
        </row>
        <row r="102">
          <cell r="A102" t="str">
            <v>2</v>
          </cell>
          <cell r="D102" t="str">
            <v>L10</v>
          </cell>
          <cell r="Q102">
            <v>0</v>
          </cell>
        </row>
        <row r="103">
          <cell r="A103" t="str">
            <v>2</v>
          </cell>
          <cell r="D103" t="str">
            <v>L11</v>
          </cell>
          <cell r="P103">
            <v>0</v>
          </cell>
          <cell r="Q103">
            <v>0</v>
          </cell>
        </row>
      </sheetData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"/>
      <sheetName val="Расчет тарифа"/>
      <sheetName val="Расчет тарифа методом ЭОЗ"/>
      <sheetName val="Корректировка тарифа "/>
      <sheetName val="Неподконтрольные расходы"/>
      <sheetName val="Корректировка НВВ"/>
      <sheetName val="Расходы на энергоресурсы и ХВС"/>
      <sheetName val="Амортизация"/>
      <sheetName val="Арендные и лизинговые платежи"/>
      <sheetName val="Налоги и сборы"/>
      <sheetName val="Прибыль"/>
      <sheetName val="et_union"/>
      <sheetName val="AllSheetsInThisWorkbook"/>
      <sheetName val="REESTR_ORG"/>
      <sheetName val="REESTR_FILTERED"/>
      <sheetName val="REESTR_MO"/>
      <sheetName val="TEHSHEET"/>
      <sheetName val="modfrmReestr"/>
      <sheetName val="modCommandButton"/>
      <sheetName val="modServiceModule"/>
      <sheetName val="modReestr"/>
      <sheetName val="modProv"/>
      <sheetName val="modHyp"/>
      <sheetName val="modChange"/>
      <sheetName val="modInfo"/>
      <sheetName val="Лист1"/>
      <sheetName val="Лист2"/>
      <sheetName val="Проверка"/>
      <sheetName val="Лист5"/>
      <sheetName val="Лист3"/>
      <sheetName val="Лист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30">
          <cell r="N130">
            <v>0</v>
          </cell>
        </row>
        <row r="131">
          <cell r="N131">
            <v>0</v>
          </cell>
        </row>
        <row r="133">
          <cell r="N133">
            <v>0</v>
          </cell>
        </row>
        <row r="134">
          <cell r="N134">
            <v>0</v>
          </cell>
        </row>
        <row r="136">
          <cell r="N136">
            <v>0</v>
          </cell>
        </row>
        <row r="137">
          <cell r="N137">
            <v>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ведомость ОС, подразд В"/>
    </sheetNames>
    <sheetDataSet>
      <sheetData sheetId="0">
        <row r="10">
          <cell r="P10">
            <v>1028.6400000000001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ведомость ОС, подразд В"/>
    </sheetNames>
    <sheetDataSet>
      <sheetData sheetId="0">
        <row r="8">
          <cell r="P8">
            <v>1298.27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тарифа мет. инд. 5 лет"/>
      <sheetName val="Всп табл рем пр произ"/>
      <sheetName val="Общцех"/>
      <sheetName val="ПП(к ЭЗ)"/>
      <sheetName val="ПП(к реш"/>
      <sheetName val="ПП (к РЕШЕНИЮ)"/>
      <sheetName val="Расчет КиН (полный цикл)"/>
      <sheetName val="Тарифы и ДПР"/>
    </sheetNames>
    <sheetDataSet>
      <sheetData sheetId="0">
        <row r="17">
          <cell r="M17">
            <v>20.7</v>
          </cell>
          <cell r="N17">
            <v>21.516976</v>
          </cell>
        </row>
        <row r="19">
          <cell r="AA19">
            <v>2.2982</v>
          </cell>
        </row>
        <row r="20">
          <cell r="AA20">
            <v>0.12828000000000001</v>
          </cell>
        </row>
        <row r="21">
          <cell r="AA21">
            <v>19.093328</v>
          </cell>
        </row>
        <row r="25">
          <cell r="M25">
            <v>1065.2021367867183</v>
          </cell>
          <cell r="N25">
            <v>1013.9230366829861</v>
          </cell>
          <cell r="AA25">
            <v>1776.4196593797731</v>
          </cell>
          <cell r="AK25">
            <v>1886.761554392787</v>
          </cell>
          <cell r="AP25">
            <v>1942.6096964028138</v>
          </cell>
          <cell r="AU25">
            <v>2000.110943416337</v>
          </cell>
        </row>
        <row r="28">
          <cell r="N28">
            <v>26.39</v>
          </cell>
          <cell r="AA28">
            <v>54.981999999999999</v>
          </cell>
          <cell r="AK28">
            <v>58.397194174176001</v>
          </cell>
          <cell r="AP28">
            <v>60.125751121731611</v>
          </cell>
          <cell r="AU28">
            <v>61.905473354934863</v>
          </cell>
        </row>
        <row r="31">
          <cell r="N31">
            <v>371.9657760689779</v>
          </cell>
          <cell r="AA31">
            <v>732.7795418775213</v>
          </cell>
          <cell r="AK31">
            <v>778.29597311638997</v>
          </cell>
          <cell r="AP31">
            <v>801.3335339206352</v>
          </cell>
          <cell r="AU31">
            <v>825.053006524686</v>
          </cell>
        </row>
        <row r="47">
          <cell r="N47">
            <v>200.7312</v>
          </cell>
          <cell r="AA47">
            <v>227.66450949120002</v>
          </cell>
          <cell r="AK47">
            <v>241.80583768007975</v>
          </cell>
          <cell r="AP47">
            <v>248.9632904754101</v>
          </cell>
          <cell r="AU47">
            <v>256.3326038734823</v>
          </cell>
        </row>
        <row r="50">
          <cell r="N50">
            <v>28.900120000000001</v>
          </cell>
          <cell r="AA50">
            <v>253.0566666666667</v>
          </cell>
          <cell r="AK50">
            <v>268.77522280752009</v>
          </cell>
          <cell r="AP50">
            <v>276.73096940262269</v>
          </cell>
          <cell r="AU50">
            <v>284.92220609694033</v>
          </cell>
        </row>
        <row r="74">
          <cell r="N74">
            <v>8.930829985747998</v>
          </cell>
          <cell r="O74">
            <v>33.454329622604938</v>
          </cell>
          <cell r="AA74">
            <v>24.244</v>
          </cell>
          <cell r="AK74">
            <v>25.595603000000001</v>
          </cell>
          <cell r="AP74">
            <v>26.235493074999997</v>
          </cell>
          <cell r="AU74">
            <v>26.891380401874994</v>
          </cell>
        </row>
        <row r="173">
          <cell r="M173">
            <v>1112.3335181217822</v>
          </cell>
          <cell r="N173">
            <v>1063.0904252146061</v>
          </cell>
          <cell r="AA173">
            <v>1597.4658699496283</v>
          </cell>
          <cell r="AK173">
            <v>2019.1381253125796</v>
          </cell>
          <cell r="AP173">
            <v>2076.1967435802835</v>
          </cell>
          <cell r="AU173">
            <v>2075.6820644628406</v>
          </cell>
        </row>
        <row r="199">
          <cell r="AA199">
            <v>0.10223139537304422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тарифа мет. инд. 5 лет"/>
      <sheetName val="ПП(к ЭЗ)"/>
      <sheetName val="ПП (к РЕШЕНИЮ)"/>
      <sheetName val="КиН из заключения"/>
      <sheetName val="Расчет КиН (полный цикл)"/>
      <sheetName val="Тарифы и ДПР"/>
    </sheetNames>
    <sheetDataSet>
      <sheetData sheetId="0" refreshError="1"/>
      <sheetData sheetId="1" refreshError="1"/>
      <sheetData sheetId="2" refreshError="1"/>
      <sheetData sheetId="3" refreshError="1">
        <row r="4">
          <cell r="E4">
            <v>0.27</v>
          </cell>
        </row>
        <row r="5">
          <cell r="E5">
            <v>0</v>
          </cell>
          <cell r="F5">
            <v>0</v>
          </cell>
          <cell r="G5">
            <v>0</v>
          </cell>
        </row>
      </sheetData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ст предзагрузки"/>
      <sheetName val="Настройка списков"/>
      <sheetName val="Общие настройки"/>
      <sheetName val="Itog_Etalon"/>
      <sheetName val="Itog_Formula"/>
      <sheetName val="fmls_translate_result"/>
      <sheetName val="Список листов"/>
      <sheetName val="Инструкция"/>
      <sheetName val="Титульный"/>
      <sheetName val="Тарифы"/>
      <sheetName val="testPreloadResult"/>
      <sheetName val="Лист1"/>
      <sheetName val="TECHSHEET"/>
      <sheetName val="Лист5"/>
      <sheetName val="Заявление"/>
      <sheetName val="Документы"/>
      <sheetName val="Справочники"/>
      <sheetName val="Индексы"/>
      <sheetName val="Список объектов"/>
      <sheetName val="ПО_нас"/>
      <sheetName val="Реестр потребителей"/>
      <sheetName val="Потери"/>
      <sheetName val="Отпуск воды"/>
      <sheetName val="ФормулыTemp"/>
      <sheetName val="Формулы2"/>
      <sheetName val="Формулы"/>
      <sheetName val="Объемы ВО"/>
      <sheetName val="Баланс ПП"/>
      <sheetName val="Баланс ПП МО"/>
      <sheetName val="Оборудование"/>
      <sheetName val="Сети"/>
      <sheetName val="Объемы по методике"/>
      <sheetName val="Условные метры"/>
      <sheetName val="Показатели"/>
      <sheetName val="ИТОГ"/>
      <sheetName val="Тарифы по периодам"/>
      <sheetName val="Лист2"/>
      <sheetName val="СиМ (детально)"/>
      <sheetName val="Сырье и материалы"/>
      <sheetName val="ЭЭ"/>
      <sheetName val="Оборудование - ЭЭ"/>
      <sheetName val="ТЭ"/>
      <sheetName val="ТН"/>
      <sheetName val="Топливо"/>
      <sheetName val="Оплата услуг ВО"/>
      <sheetName val="Покупка воды"/>
      <sheetName val="Транспортировка"/>
      <sheetName val="Земел. уч."/>
      <sheetName val="Аренда"/>
      <sheetName val="Амортизация"/>
      <sheetName val="Общие показатели"/>
      <sheetName val="Тарифная сетка"/>
      <sheetName val="Коэффициент невыходов"/>
      <sheetName val="Персонал"/>
      <sheetName val="Сбыт"/>
      <sheetName val="Счет 23"/>
      <sheetName val="Счет 25"/>
      <sheetName val="Адм.расходы"/>
      <sheetName val="ФОТ (по ВД)"/>
      <sheetName val="ФОТ"/>
      <sheetName val="Бесхоз"/>
      <sheetName val="Лист4"/>
      <sheetName val="tech"/>
      <sheetName val="Капремонт"/>
      <sheetName val="Текремонт"/>
      <sheetName val="preloadProcs"/>
      <sheetName val="Налоги"/>
      <sheetName val="Прочие прямые"/>
      <sheetName val="Экон. проч"/>
      <sheetName val="Экон. ОР"/>
      <sheetName val="Экон. ЭЭ"/>
      <sheetName val="Общая экономия"/>
      <sheetName val="Плата за негативное возд"/>
      <sheetName val="Корр по факту"/>
      <sheetName val="Корр по периодам"/>
      <sheetName val="ДПР"/>
      <sheetName val="Анализ ФХД"/>
      <sheetName val="План ПП"/>
      <sheetName val="Факт ПП"/>
      <sheetName val="Концессия"/>
      <sheetName val="Амортизация (аналог)"/>
      <sheetName val="Расчет тарифа (аналог)"/>
      <sheetName val="Смета"/>
      <sheetName val="Расчет МЭОР"/>
      <sheetName val="ОР (базовый)"/>
      <sheetName val="ИИКА"/>
      <sheetName val="НР"/>
      <sheetName val="Расчет тарифа(корректировка) МИ"/>
      <sheetName val="ПП исх"/>
      <sheetName val="ПП вход"/>
      <sheetName val="БПр_ВС_ФАС"/>
      <sheetName val="БТр_ВС_ФАС"/>
      <sheetName val="БПр_ВО_ФАС"/>
      <sheetName val="БТр_ВО_ФАС"/>
      <sheetName val="Р_ФАС"/>
      <sheetName val="К_ФАС"/>
      <sheetName val="ТМ1"/>
      <sheetName val="ТМ2"/>
      <sheetName val="ТН ФАС"/>
      <sheetName val="ATTACH_DOC"/>
      <sheetName val="Столбцы"/>
      <sheetName val="Столбцы отображение"/>
      <sheetName val="TECH_VERTICAL"/>
      <sheetName val="REESTR_ORG"/>
      <sheetName val="Check"/>
      <sheetName val="Справочник ВД"/>
      <sheetName val="Списки"/>
      <sheetName val="Новые списки"/>
      <sheetName val="REESTR_AREA"/>
      <sheetName val="LIST_DPR"/>
      <sheetName val="REESTR_OBJ_VS"/>
      <sheetName val="REESTR_OBJ_VO"/>
      <sheetName val="REESTR_TARIFF"/>
      <sheetName val="REESTR_MO"/>
      <sheetName val="SheetInfo"/>
      <sheetName val="Информация"/>
      <sheetName val="Лист3"/>
      <sheetName val="autocheck"/>
      <sheetName val="Черновик 1"/>
    </sheetNames>
    <sheetDataSet>
      <sheetData sheetId="0"/>
      <sheetData sheetId="1"/>
      <sheetData sheetId="2">
        <row r="107">
          <cell r="G107" t="str">
            <v>один год</v>
          </cell>
        </row>
      </sheetData>
      <sheetData sheetId="3"/>
      <sheetData sheetId="4"/>
      <sheetData sheetId="5"/>
      <sheetData sheetId="6"/>
      <sheetData sheetId="7"/>
      <sheetData sheetId="8">
        <row r="11">
          <cell r="AD11" t="str">
            <v>Кировская область</v>
          </cell>
        </row>
        <row r="13">
          <cell r="AD13" t="str">
            <v>Версия организации</v>
          </cell>
        </row>
        <row r="19">
          <cell r="AD19" t="str">
            <v>МКП «Универсал» Кильмезского района Кировской области</v>
          </cell>
        </row>
        <row r="61">
          <cell r="AD61" t="str">
            <v>нет</v>
          </cell>
        </row>
        <row r="62">
          <cell r="AD62" t="str">
            <v>Метод индексации</v>
          </cell>
        </row>
        <row r="63">
          <cell r="AD63">
            <v>2024</v>
          </cell>
        </row>
        <row r="71">
          <cell r="AD71" t="str">
            <v>Базовый</v>
          </cell>
        </row>
      </sheetData>
      <sheetData sheetId="9">
        <row r="86">
          <cell r="AC86"/>
        </row>
        <row r="87">
          <cell r="X87" t="str">
            <v>1ВО::1.1</v>
          </cell>
          <cell r="Y87" t="str">
            <v>1ВО</v>
          </cell>
          <cell r="AB87" t="str">
            <v>Водоотведение</v>
          </cell>
          <cell r="AC87" t="str">
            <v>Тариф на транспортировку сточных вод</v>
          </cell>
          <cell r="AF87" t="str">
            <v>Без дифференциации</v>
          </cell>
        </row>
        <row r="88">
          <cell r="Y88" t="str">
            <v>1ВО</v>
          </cell>
          <cell r="AC88"/>
          <cell r="AF88"/>
        </row>
        <row r="89">
          <cell r="Y89" t="str">
            <v>1ВО</v>
          </cell>
          <cell r="AC89"/>
          <cell r="AF89"/>
        </row>
        <row r="90">
          <cell r="AC90"/>
          <cell r="AF90"/>
        </row>
        <row r="91">
          <cell r="AC91"/>
          <cell r="AF91"/>
        </row>
        <row r="93">
          <cell r="Y93" t="str">
            <v>Обратить внимание, что при удалении блока может быть ССЫЛКА</v>
          </cell>
        </row>
      </sheetData>
      <sheetData sheetId="10"/>
      <sheetData sheetId="11"/>
      <sheetData sheetId="12">
        <row r="2">
          <cell r="DG2" t="str">
            <v>Версия организации</v>
          </cell>
        </row>
        <row r="3">
          <cell r="DG3" t="str">
            <v>Версия регулятора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Prov"/>
      <sheetName val="Инструкция"/>
      <sheetName val="Лог обновления"/>
      <sheetName val="Пояснения"/>
      <sheetName val="Список листов"/>
      <sheetName val="Общие сведения"/>
      <sheetName val="et_union"/>
      <sheetName val="Список территорий"/>
      <sheetName val="Список объектов"/>
      <sheetName val="Сценарии"/>
      <sheetName val="Баланс"/>
      <sheetName val="Реагенты"/>
      <sheetName val="ЭЭ"/>
      <sheetName val="Амортизация"/>
      <sheetName val="Аренда"/>
      <sheetName val="Покупка"/>
      <sheetName val="Налоги"/>
      <sheetName val="ИП + источники"/>
      <sheetName val="Экономия_корр"/>
      <sheetName val="Плата за негативное возд"/>
      <sheetName val="Корректировка НВВ"/>
      <sheetName val="Калькуляция"/>
      <sheetName val="ТМ"/>
      <sheetName val="ДПР"/>
      <sheetName val="ДПР (концессии)"/>
      <sheetName val="TEHSHEET"/>
      <sheetName val="Комментарии"/>
      <sheetName val="Проверка"/>
      <sheetName val="modProvGeneralProc"/>
      <sheetName val="REESTR_MO"/>
      <sheetName val="REESTR_ORG"/>
      <sheetName val="REESTR_TARIFF"/>
      <sheetName val="OKOPF"/>
      <sheetName val="modfrmRegion"/>
      <sheetName val="modfrmSelectTariff"/>
      <sheetName val="modHTTP"/>
      <sheetName val="modCheckCyan"/>
      <sheetName val="modfrmActivity"/>
      <sheetName val="modfrmCheckUpdates"/>
      <sheetName val="modUpdTemplMain"/>
      <sheetName val="modList00"/>
      <sheetName val="modThisWorkbook"/>
      <sheetName val="modInstruction"/>
      <sheetName val="AllSheetsInThisWorkbook"/>
      <sheetName val="modHyp"/>
      <sheetName val="modfrmReestr"/>
      <sheetName val="modReestr"/>
      <sheetName val="modList01"/>
      <sheetName val="modList02"/>
      <sheetName val="modList05"/>
      <sheetName val="modList06"/>
      <sheetName val="modList09"/>
      <sheetName val="modList10"/>
      <sheetName val="modList11"/>
      <sheetName val="modList16"/>
      <sheetName val="modList18"/>
      <sheetName val="modList15"/>
      <sheetName val="EXPERT.VSVO.INDEX.CORR(v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9">
          <cell r="H9">
            <v>2019</v>
          </cell>
        </row>
        <row r="10">
          <cell r="H10">
            <v>5</v>
          </cell>
        </row>
        <row r="17">
          <cell r="O17" t="str">
            <v>Кировская область / 2023 / ООО "Диалог" (ИНН:4303004562, КПП:430301001) / ДПР: 2019-2023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>
        <row r="2">
          <cell r="X2" t="str">
            <v>аренда</v>
          </cell>
        </row>
        <row r="3">
          <cell r="X3" t="str">
            <v>безвозмездное пользование</v>
          </cell>
        </row>
        <row r="4">
          <cell r="X4" t="str">
            <v>концессионное соглашение</v>
          </cell>
        </row>
        <row r="5">
          <cell r="X5" t="str">
            <v>оперативное управление</v>
          </cell>
        </row>
        <row r="6">
          <cell r="X6" t="str">
            <v>собственность</v>
          </cell>
        </row>
        <row r="7">
          <cell r="X7" t="str">
            <v>хозяйственное ведение</v>
          </cell>
        </row>
        <row r="8">
          <cell r="X8" t="str">
            <v>договор хранения</v>
          </cell>
        </row>
        <row r="9">
          <cell r="X9" t="str">
            <v>договор эксплуатации</v>
          </cell>
        </row>
        <row r="10">
          <cell r="X10" t="str">
            <v>договор обслуживания</v>
          </cell>
        </row>
        <row r="11">
          <cell r="X11" t="str">
            <v>бесхозяйный объект</v>
          </cell>
        </row>
        <row r="12">
          <cell r="X12" t="str">
            <v>договор инвестирования</v>
          </cell>
        </row>
        <row r="13">
          <cell r="X13" t="str">
            <v>доверительное управление</v>
          </cell>
        </row>
        <row r="14">
          <cell r="X14" t="str">
            <v>субаренда</v>
          </cell>
        </row>
        <row r="17">
          <cell r="X17" t="str">
            <v>договор</v>
          </cell>
        </row>
        <row r="18">
          <cell r="X18" t="str">
            <v>свидетельство</v>
          </cell>
        </row>
        <row r="19">
          <cell r="X19" t="str">
            <v>соглашение</v>
          </cell>
        </row>
        <row r="20">
          <cell r="X20" t="str">
            <v>постановление</v>
          </cell>
        </row>
        <row r="21">
          <cell r="X21" t="str">
            <v>распоряжение</v>
          </cell>
        </row>
        <row r="22">
          <cell r="X22" t="str">
            <v>решение</v>
          </cell>
        </row>
        <row r="23">
          <cell r="X23" t="str">
            <v>приказ</v>
          </cell>
        </row>
        <row r="24">
          <cell r="X24" t="str">
            <v>лицензия</v>
          </cell>
        </row>
        <row r="25">
          <cell r="X25" t="str">
            <v>акт приёма-передачи</v>
          </cell>
        </row>
        <row r="26">
          <cell r="X26" t="str">
            <v>государственный контракт</v>
          </cell>
        </row>
        <row r="27">
          <cell r="X27" t="str">
            <v>балансовая справка</v>
          </cell>
        </row>
        <row r="28">
          <cell r="X28" t="str">
            <v>кадастровый паспорт</v>
          </cell>
        </row>
        <row r="29">
          <cell r="X29" t="str">
            <v>технический паспорт</v>
          </cell>
        </row>
        <row r="30">
          <cell r="X30" t="str">
            <v>устав</v>
          </cell>
        </row>
        <row r="31">
          <cell r="X31" t="str">
            <v>акт ввода в эксплуатацию</v>
          </cell>
        </row>
        <row r="32">
          <cell r="X32" t="str">
            <v>план приватизации</v>
          </cell>
        </row>
        <row r="33">
          <cell r="X33" t="str">
            <v>разрешение на ввод объекта в эксплуатацию</v>
          </cell>
        </row>
        <row r="34">
          <cell r="X34" t="str">
            <v>выписка из ЕГРН</v>
          </cell>
        </row>
        <row r="35">
          <cell r="X35" t="str">
            <v>выписка из РФИ</v>
          </cell>
        </row>
        <row r="36">
          <cell r="X36" t="str">
            <v>документов нет вообще</v>
          </cell>
        </row>
      </sheetData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Prov"/>
      <sheetName val="Инструкция"/>
      <sheetName val="Лог обновления"/>
      <sheetName val="Пояснения"/>
      <sheetName val="Список листов"/>
      <sheetName val="Общие сведения"/>
      <sheetName val="et_union"/>
      <sheetName val="Список территорий"/>
      <sheetName val="Список объектов"/>
      <sheetName val="Сценарии"/>
      <sheetName val="Баланс"/>
      <sheetName val="Реагенты"/>
      <sheetName val="ЭЭ"/>
      <sheetName val="Амортизация"/>
      <sheetName val="Аренда"/>
      <sheetName val="Покупка"/>
      <sheetName val="Налоги"/>
      <sheetName val="ИП + источники"/>
      <sheetName val="Экономия_корр"/>
      <sheetName val="Плата за негативное возд"/>
      <sheetName val="Корректировка НВВ"/>
      <sheetName val="Калькуляция"/>
      <sheetName val="ДПР"/>
      <sheetName val="ТМ"/>
      <sheetName val="ДПР (концессии)"/>
      <sheetName val="TEHSHEET"/>
      <sheetName val="Комментарии"/>
      <sheetName val="Проверка"/>
      <sheetName val="modProvGeneralProc"/>
      <sheetName val="REESTR_MO"/>
      <sheetName val="REESTR_ORG"/>
      <sheetName val="REESTR_TARIFF"/>
      <sheetName val="OKOPF"/>
      <sheetName val="modfrmRegion"/>
      <sheetName val="modfrmSelectTariff"/>
      <sheetName val="modHTTP"/>
      <sheetName val="modCheckCyan"/>
      <sheetName val="modfrmActivity"/>
      <sheetName val="modfrmCheckUpdates"/>
      <sheetName val="modUpdTemplMain"/>
      <sheetName val="modList00"/>
      <sheetName val="modThisWorkbook"/>
      <sheetName val="modInstruction"/>
      <sheetName val="AllSheetsInThisWorkbook"/>
      <sheetName val="modHyp"/>
      <sheetName val="modfrmReestr"/>
      <sheetName val="modReestr"/>
      <sheetName val="modList01"/>
      <sheetName val="modList02"/>
      <sheetName val="modList05"/>
      <sheetName val="modList06"/>
      <sheetName val="modList09"/>
      <sheetName val="modList10"/>
      <sheetName val="modList11"/>
      <sheetName val="modList16"/>
      <sheetName val="modList18"/>
      <sheetName val="modList15"/>
      <sheetName val="EXPERT.VSVO.INDEX.CORR(v3"/>
    </sheetNames>
    <sheetDataSet>
      <sheetData sheetId="0"/>
      <sheetData sheetId="1"/>
      <sheetData sheetId="2"/>
      <sheetData sheetId="3"/>
      <sheetData sheetId="4"/>
      <sheetData sheetId="5">
        <row r="8">
          <cell r="H8">
            <v>2023</v>
          </cell>
        </row>
        <row r="17">
          <cell r="O17" t="str">
            <v>Кировская область / 2023 / ООО "Союз" (ИНН:4303005372, КПП:430301001) / ДПР: 2019-2023</v>
          </cell>
        </row>
        <row r="138">
          <cell r="G138" t="b">
            <v>1</v>
          </cell>
          <cell r="H138" t="b">
            <v>0</v>
          </cell>
          <cell r="I138" t="b">
            <v>0</v>
          </cell>
          <cell r="J138" t="b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Prov"/>
      <sheetName val="Инструкция"/>
      <sheetName val="Лог обновления"/>
      <sheetName val="Пояснения"/>
      <sheetName val="Список листов"/>
      <sheetName val="Общие сведения"/>
      <sheetName val="et_union"/>
      <sheetName val="Список территорий"/>
      <sheetName val="Список объектов"/>
      <sheetName val="Сценарии"/>
      <sheetName val="Баланс"/>
      <sheetName val="Реагенты"/>
      <sheetName val="ЭЭ"/>
      <sheetName val="Амортизация"/>
      <sheetName val="Аренда"/>
      <sheetName val="Покупка"/>
      <sheetName val="Налоги"/>
      <sheetName val="ИП + источники"/>
      <sheetName val="Экономия_корр"/>
      <sheetName val="Плата за негативное возд"/>
      <sheetName val="Корректировка НВВ"/>
      <sheetName val="Калькуляция"/>
      <sheetName val="ТМ"/>
      <sheetName val="ДПР"/>
      <sheetName val="ДПР (концессии)"/>
      <sheetName val="TEHSHEET"/>
      <sheetName val="Комментарии"/>
      <sheetName val="Проверка"/>
      <sheetName val="modProvGeneralProc"/>
      <sheetName val="REESTR_MO"/>
      <sheetName val="REESTR_ORG"/>
      <sheetName val="REESTR_TARIFF"/>
      <sheetName val="OKOPF"/>
      <sheetName val="modfrmRegion"/>
      <sheetName val="modfrmSelectTariff"/>
      <sheetName val="modHTTP"/>
      <sheetName val="modCheckCyan"/>
      <sheetName val="modfrmActivity"/>
      <sheetName val="modfrmCheckUpdates"/>
      <sheetName val="modUpdTemplMain"/>
      <sheetName val="modList00"/>
      <sheetName val="modThisWorkbook"/>
      <sheetName val="modInstruction"/>
      <sheetName val="AllSheetsInThisWorkbook"/>
      <sheetName val="modHyp"/>
      <sheetName val="modfrmReestr"/>
      <sheetName val="modReestr"/>
      <sheetName val="modList01"/>
      <sheetName val="modList02"/>
      <sheetName val="modList05"/>
      <sheetName val="modList06"/>
      <sheetName val="modList09"/>
      <sheetName val="modList10"/>
      <sheetName val="modList11"/>
      <sheetName val="modList16"/>
      <sheetName val="modList18"/>
      <sheetName val="modList15"/>
      <sheetName val="EXPERT.VSVO.INDEX.CORR(v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9">
          <cell r="J9">
            <v>2023</v>
          </cell>
        </row>
        <row r="17">
          <cell r="O17" t="str">
            <v>Кировская область / 2023 / ООО "ЖКХ Эксперт" (ИНН:4305005748, КПП:434501001) / ДПР: 2019-2023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Титульный"/>
      <sheetName val="Смета расходов"/>
      <sheetName val="Расчет тарифа"/>
      <sheetName val="Сведения ВС и ВО"/>
      <sheetName val="Объекты ВС"/>
      <sheetName val="Показатели ВС"/>
      <sheetName val="Баланс ВС"/>
      <sheetName val="Фин.показ."/>
      <sheetName val="Тех.показ."/>
      <sheetName val="Расчет тарифа методом ЭОЗ"/>
      <sheetName val="Расчет тарифа мет. инд. 3 года"/>
      <sheetName val="Расчет тарифа мет. инд. 4 года"/>
      <sheetName val="Расчет тарифа мет. инд. 5 лет"/>
      <sheetName val="Расчет тарифа мет. инд. 6 лет"/>
      <sheetName val="Расчет тарифа мет. инд. 7 лет"/>
      <sheetName val="Расчет тарифа мет. инд. 8 лет"/>
      <sheetName val="Расчет тарифа мет. инд. 9 лет"/>
      <sheetName val="Расчет тарифа мет. инд. 10 лет"/>
      <sheetName val="Объем"/>
      <sheetName val="Неподконтрольные расходы"/>
      <sheetName val="Сырье и материалы (2.1)"/>
      <sheetName val="Сырье и материалы (2.1.1)"/>
      <sheetName val="Расходы на энергоресурсы и ХВС"/>
      <sheetName val="ФОТ осн"/>
      <sheetName val="ФОТ цех"/>
      <sheetName val="ФОТ ауп"/>
      <sheetName val="ФОТ рем"/>
      <sheetName val="Амортизация"/>
      <sheetName val="Расходы на тек. и кап. ремонт"/>
      <sheetName val="Источники фин кап. вложений"/>
      <sheetName val="Арендные и лизинговые платежи"/>
      <sheetName val="Аренда ВС и ВО"/>
      <sheetName val="Прочие производственные расходы"/>
      <sheetName val="Цеховые"/>
      <sheetName val="Общеэксплуатационные"/>
      <sheetName val="Налоги и сборы"/>
      <sheetName val="Прибыль"/>
      <sheetName val="et_union"/>
      <sheetName val="AllSheetsInThisWorkbook"/>
      <sheetName val="REESTR_ORG"/>
      <sheetName val="REESTR_FILTERED"/>
      <sheetName val="REESTR_MO"/>
      <sheetName val="TEHSHEET"/>
      <sheetName val="modfrmReestr"/>
      <sheetName val="modCommandButton"/>
      <sheetName val="modServiceModule"/>
      <sheetName val="modReestr"/>
      <sheetName val="modProv"/>
      <sheetName val="modHyp"/>
      <sheetName val="modChange"/>
      <sheetName val="modInfo"/>
      <sheetName val="Проверка"/>
    </sheetNames>
    <sheetDataSet>
      <sheetData sheetId="0" refreshError="1">
        <row r="3">
          <cell r="G3" t="str">
            <v>Версия 4.1.</v>
          </cell>
        </row>
      </sheetData>
      <sheetData sheetId="1" refreshError="1">
        <row r="5">
          <cell r="F5" t="str">
            <v>питьевую воду (питьевое водоснабжение)</v>
          </cell>
        </row>
        <row r="10">
          <cell r="F10">
            <v>2024</v>
          </cell>
        </row>
        <row r="21">
          <cell r="F21" t="str">
            <v>Вятские Поляны</v>
          </cell>
        </row>
        <row r="23">
          <cell r="F23" t="str">
            <v>Вятские Поляны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>
        <row r="2">
          <cell r="D2" t="str">
            <v>Арбажский муниципальный район</v>
          </cell>
        </row>
        <row r="3">
          <cell r="D3" t="str">
            <v>Афанасьевский муниципальный район</v>
          </cell>
        </row>
        <row r="4">
          <cell r="D4" t="str">
            <v>Белохолуницкий муниципальный район</v>
          </cell>
        </row>
        <row r="5">
          <cell r="D5" t="str">
            <v>Богородский муниципальный район</v>
          </cell>
        </row>
        <row r="6">
          <cell r="D6" t="str">
            <v>Верхнекамский муниципальный район</v>
          </cell>
        </row>
        <row r="7">
          <cell r="D7" t="str">
            <v>Верхошижемский муниципальный район</v>
          </cell>
        </row>
        <row r="8">
          <cell r="D8" t="str">
            <v>Вятские Поляны</v>
          </cell>
        </row>
        <row r="9">
          <cell r="D9" t="str">
            <v>Вятскополянский муниципальный район</v>
          </cell>
        </row>
        <row r="10">
          <cell r="D10" t="str">
            <v>Даровской муниципальный район</v>
          </cell>
        </row>
        <row r="11">
          <cell r="D11" t="str">
            <v>ЗАТО Первомайский</v>
          </cell>
        </row>
        <row r="12">
          <cell r="D12" t="str">
            <v>Зуевский муниципальный район</v>
          </cell>
        </row>
        <row r="13">
          <cell r="D13" t="str">
            <v>Кикнурский муниципальный район</v>
          </cell>
        </row>
        <row r="14">
          <cell r="D14" t="str">
            <v>Кильмезский муниципальный район</v>
          </cell>
        </row>
        <row r="15">
          <cell r="D15" t="str">
            <v>Киров</v>
          </cell>
        </row>
        <row r="16">
          <cell r="D16" t="str">
            <v>Кирово-Чепецк</v>
          </cell>
        </row>
        <row r="17">
          <cell r="D17" t="str">
            <v>Кирово-Чепецкий муниципальный район</v>
          </cell>
        </row>
        <row r="18">
          <cell r="D18" t="str">
            <v>Котельнич</v>
          </cell>
        </row>
        <row r="19">
          <cell r="D19" t="str">
            <v>Котельничский муниципальный район</v>
          </cell>
        </row>
        <row r="20">
          <cell r="D20" t="str">
            <v>Куменский муниципальный район</v>
          </cell>
        </row>
        <row r="21">
          <cell r="D21" t="str">
            <v>Лебяжский муниципальный район</v>
          </cell>
        </row>
        <row r="22">
          <cell r="D22" t="str">
            <v>Лузский муниципальный район</v>
          </cell>
        </row>
        <row r="23">
          <cell r="D23" t="str">
            <v>Малмыжский муниципальный район</v>
          </cell>
        </row>
        <row r="24">
          <cell r="D24" t="str">
            <v>Мурашинский муниципальный район</v>
          </cell>
        </row>
        <row r="25">
          <cell r="D25" t="str">
            <v>Нагорский муниципальный район</v>
          </cell>
        </row>
        <row r="26">
          <cell r="D26" t="str">
            <v>Немский муниципальный район</v>
          </cell>
        </row>
        <row r="27">
          <cell r="D27" t="str">
            <v>Нолинский муниципальный район</v>
          </cell>
        </row>
        <row r="28">
          <cell r="D28" t="str">
            <v>Омутнинский муниципальный район</v>
          </cell>
        </row>
        <row r="29">
          <cell r="D29" t="str">
            <v>Опаринский муниципальный район</v>
          </cell>
        </row>
        <row r="30">
          <cell r="D30" t="str">
            <v>Оричевский муниципальный район</v>
          </cell>
        </row>
        <row r="31">
          <cell r="D31" t="str">
            <v>Орловский муниципальный район</v>
          </cell>
        </row>
        <row r="32">
          <cell r="D32" t="str">
            <v>Пижанский муниципальный район</v>
          </cell>
        </row>
        <row r="33">
          <cell r="D33" t="str">
            <v>Подосиновский муниципальный район</v>
          </cell>
        </row>
        <row r="34">
          <cell r="D34" t="str">
            <v>Санчурский муниципальный район</v>
          </cell>
        </row>
        <row r="35">
          <cell r="D35" t="str">
            <v>Свечинский муниципальный район</v>
          </cell>
        </row>
        <row r="36">
          <cell r="D36" t="str">
            <v>Слободской</v>
          </cell>
        </row>
        <row r="37">
          <cell r="D37" t="str">
            <v>Слободской муниципальный район</v>
          </cell>
        </row>
        <row r="38">
          <cell r="D38" t="str">
            <v>Советский муниципальный район</v>
          </cell>
        </row>
        <row r="39">
          <cell r="D39" t="str">
            <v>Сунский муниципальный район</v>
          </cell>
        </row>
        <row r="40">
          <cell r="D40" t="str">
            <v>Тужинский муниципальный район</v>
          </cell>
        </row>
        <row r="41">
          <cell r="D41" t="str">
            <v>Унинский муниципальный район</v>
          </cell>
        </row>
        <row r="42">
          <cell r="D42" t="str">
            <v>Уржумский муниципальный район</v>
          </cell>
        </row>
        <row r="43">
          <cell r="D43" t="str">
            <v>Фаленский муниципальный район</v>
          </cell>
        </row>
        <row r="44">
          <cell r="D44" t="str">
            <v>Шабалинский муниципальный район</v>
          </cell>
        </row>
        <row r="45">
          <cell r="D45" t="str">
            <v>Юрьянский муниципальный район</v>
          </cell>
        </row>
        <row r="46">
          <cell r="D46" t="str">
            <v>Яранский муниципальный район</v>
          </cell>
        </row>
      </sheetData>
      <sheetData sheetId="43" refreshError="1">
        <row r="1">
          <cell r="I1">
            <v>2011</v>
          </cell>
        </row>
        <row r="2">
          <cell r="I2">
            <v>2012</v>
          </cell>
        </row>
        <row r="3">
          <cell r="I3">
            <v>2013</v>
          </cell>
        </row>
        <row r="4">
          <cell r="I4">
            <v>2014</v>
          </cell>
        </row>
        <row r="5">
          <cell r="I5">
            <v>2015</v>
          </cell>
        </row>
        <row r="6">
          <cell r="I6">
            <v>2016</v>
          </cell>
        </row>
        <row r="7">
          <cell r="I7">
            <v>2017</v>
          </cell>
        </row>
        <row r="8">
          <cell r="I8">
            <v>2018</v>
          </cell>
        </row>
        <row r="9">
          <cell r="I9">
            <v>2019</v>
          </cell>
        </row>
        <row r="10">
          <cell r="I10">
            <v>2020</v>
          </cell>
        </row>
        <row r="11">
          <cell r="I11">
            <v>2021</v>
          </cell>
        </row>
        <row r="12">
          <cell r="I12">
            <v>2022</v>
          </cell>
        </row>
        <row r="13">
          <cell r="I13">
            <v>2023</v>
          </cell>
        </row>
        <row r="14">
          <cell r="I14">
            <v>2024</v>
          </cell>
        </row>
        <row r="15">
          <cell r="I15">
            <v>2025</v>
          </cell>
        </row>
      </sheetData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"/>
      <sheetName val="Расчет тарифа"/>
      <sheetName val="Расчет тарифа методом ЭОЗ"/>
      <sheetName val="Корректировка тарифа "/>
      <sheetName val="Неподконтрольные расходы"/>
      <sheetName val="Корректировка НВВ"/>
      <sheetName val="Расходы на энергоресурсы и ХВС"/>
      <sheetName val="Амортизация"/>
      <sheetName val="Арендные и лизинговые платежи"/>
      <sheetName val="Налоги и сборы"/>
      <sheetName val="Прибыль"/>
      <sheetName val="et_union"/>
      <sheetName val="AllSheetsInThisWorkbook"/>
      <sheetName val="REESTR_ORG"/>
      <sheetName val="REESTR_FILTERED"/>
      <sheetName val="REESTR_MO"/>
      <sheetName val="TEHSHEET"/>
      <sheetName val="modfrmReestr"/>
      <sheetName val="modCommandButton"/>
      <sheetName val="modServiceModule"/>
      <sheetName val="modReestr"/>
      <sheetName val="modProv"/>
      <sheetName val="modHyp"/>
      <sheetName val="modChange"/>
      <sheetName val="modInfo"/>
      <sheetName val="Лист1"/>
      <sheetName val="Лист2"/>
      <sheetName val="Проверка"/>
      <sheetName val="Динамика V"/>
      <sheetName val="ОПЕРАЦИОНКА"/>
    </sheetNames>
    <sheetDataSet>
      <sheetData sheetId="0" refreshError="1">
        <row r="4">
          <cell r="F4" t="str">
            <v>питьевую воду (питьевое водоснабжение)</v>
          </cell>
        </row>
        <row r="9">
          <cell r="F9">
            <v>2025</v>
          </cell>
        </row>
        <row r="20">
          <cell r="F20" t="str">
            <v>Вятскополянский муниципальный район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D2" t="str">
            <v>Арбажский муниципальный район</v>
          </cell>
        </row>
        <row r="3">
          <cell r="D3" t="str">
            <v>Афанасьевский муниципальный район</v>
          </cell>
        </row>
        <row r="4">
          <cell r="D4" t="str">
            <v>Белохолуницкий муниципальный район</v>
          </cell>
        </row>
        <row r="5">
          <cell r="D5" t="str">
            <v>Богородский муниципальный район</v>
          </cell>
        </row>
        <row r="6">
          <cell r="D6" t="str">
            <v>Верхнекамский муниципальный район</v>
          </cell>
        </row>
        <row r="7">
          <cell r="D7" t="str">
            <v>Верхошижемский муниципальный район</v>
          </cell>
        </row>
        <row r="8">
          <cell r="D8" t="str">
            <v>Вятские Поляны</v>
          </cell>
        </row>
        <row r="9">
          <cell r="D9" t="str">
            <v>Вятскополянский муниципальный район</v>
          </cell>
        </row>
        <row r="10">
          <cell r="D10" t="str">
            <v>Даровской муниципальный район</v>
          </cell>
        </row>
        <row r="11">
          <cell r="D11" t="str">
            <v>ЗАТО Первомайский</v>
          </cell>
        </row>
        <row r="12">
          <cell r="D12" t="str">
            <v>Зуевский муниципальный район</v>
          </cell>
        </row>
        <row r="13">
          <cell r="D13" t="str">
            <v>Кикнурский муниципальный район</v>
          </cell>
        </row>
        <row r="14">
          <cell r="D14" t="str">
            <v>Кильмезский муниципальный район</v>
          </cell>
        </row>
        <row r="15">
          <cell r="D15" t="str">
            <v>Киров</v>
          </cell>
        </row>
        <row r="16">
          <cell r="D16" t="str">
            <v>Кирово-Чепецк</v>
          </cell>
        </row>
        <row r="17">
          <cell r="D17" t="str">
            <v>Кирово-Чепецкий муниципальный район</v>
          </cell>
        </row>
        <row r="18">
          <cell r="D18" t="str">
            <v>Котельнич</v>
          </cell>
        </row>
        <row r="19">
          <cell r="D19" t="str">
            <v>Котельничский муниципальный район</v>
          </cell>
        </row>
        <row r="20">
          <cell r="D20" t="str">
            <v>Куменский муниципальный район</v>
          </cell>
        </row>
        <row r="21">
          <cell r="D21" t="str">
            <v>Лебяжский муниципальный район</v>
          </cell>
        </row>
        <row r="22">
          <cell r="D22" t="str">
            <v>Лузский муниципальный район</v>
          </cell>
        </row>
        <row r="23">
          <cell r="D23" t="str">
            <v>Малмыжский муниципальный район</v>
          </cell>
        </row>
        <row r="24">
          <cell r="D24" t="str">
            <v>Мурашинский муниципальный район</v>
          </cell>
        </row>
        <row r="25">
          <cell r="D25" t="str">
            <v>Нагорский муниципальный район</v>
          </cell>
        </row>
        <row r="26">
          <cell r="D26" t="str">
            <v>Немский муниципальный район</v>
          </cell>
        </row>
        <row r="27">
          <cell r="D27" t="str">
            <v>Нолинский муниципальный район</v>
          </cell>
        </row>
        <row r="28">
          <cell r="D28" t="str">
            <v>Омутнинский муниципальный район</v>
          </cell>
        </row>
        <row r="29">
          <cell r="D29" t="str">
            <v>Опаринский муниципальный район</v>
          </cell>
        </row>
        <row r="30">
          <cell r="D30" t="str">
            <v>Оричевский муниципальный район</v>
          </cell>
        </row>
        <row r="31">
          <cell r="D31" t="str">
            <v>Орловский муниципальный район</v>
          </cell>
        </row>
        <row r="32">
          <cell r="D32" t="str">
            <v>Пижанский муниципальный район</v>
          </cell>
        </row>
        <row r="33">
          <cell r="D33" t="str">
            <v>Подосиновский муниципальный район</v>
          </cell>
        </row>
        <row r="34">
          <cell r="D34" t="str">
            <v>Санчурский муниципальный район</v>
          </cell>
        </row>
        <row r="35">
          <cell r="D35" t="str">
            <v>Свечинский муниципальный район</v>
          </cell>
        </row>
        <row r="36">
          <cell r="D36" t="str">
            <v>Слободской</v>
          </cell>
        </row>
        <row r="37">
          <cell r="D37" t="str">
            <v>Слободской муниципальный район</v>
          </cell>
        </row>
        <row r="38">
          <cell r="D38" t="str">
            <v>Советский муниципальный район</v>
          </cell>
        </row>
        <row r="39">
          <cell r="D39" t="str">
            <v>Сунский муниципальный район</v>
          </cell>
        </row>
        <row r="40">
          <cell r="D40" t="str">
            <v>Тужинский муниципальный район</v>
          </cell>
        </row>
        <row r="41">
          <cell r="D41" t="str">
            <v>Унинский муниципальный район</v>
          </cell>
        </row>
        <row r="42">
          <cell r="D42" t="str">
            <v>Уржумский муниципальный район</v>
          </cell>
        </row>
        <row r="43">
          <cell r="D43" t="str">
            <v>Фаленский муниципальный район</v>
          </cell>
        </row>
        <row r="44">
          <cell r="D44" t="str">
            <v>Шабалинский муниципальный район</v>
          </cell>
        </row>
        <row r="45">
          <cell r="D45" t="str">
            <v>Юрьянский муниципальный район</v>
          </cell>
        </row>
        <row r="46">
          <cell r="D46" t="str">
            <v>Яранский муниципальный район</v>
          </cell>
        </row>
        <row r="52">
          <cell r="B52" t="str">
            <v>Вятскополянский муниципальный район</v>
          </cell>
        </row>
        <row r="53">
          <cell r="B53" t="str">
            <v>Город Сосновка</v>
          </cell>
        </row>
        <row r="54">
          <cell r="B54" t="str">
            <v>Гремячевское</v>
          </cell>
        </row>
        <row r="55">
          <cell r="B55" t="str">
            <v>Ершовское</v>
          </cell>
        </row>
        <row r="56">
          <cell r="B56" t="str">
            <v>Кулыжское</v>
          </cell>
        </row>
        <row r="57">
          <cell r="B57" t="str">
            <v>Новобурецкое</v>
          </cell>
        </row>
        <row r="58">
          <cell r="B58" t="str">
            <v>Омгинское</v>
          </cell>
        </row>
        <row r="59">
          <cell r="B59" t="str">
            <v>Поселок Красная Поляна</v>
          </cell>
        </row>
        <row r="60">
          <cell r="B60" t="str">
            <v>Слудское</v>
          </cell>
        </row>
        <row r="61">
          <cell r="B61" t="str">
            <v>Среднетойменское</v>
          </cell>
        </row>
        <row r="62">
          <cell r="B62" t="str">
            <v>Среднешунское</v>
          </cell>
        </row>
        <row r="63">
          <cell r="B63" t="str">
            <v>Старопинигерское</v>
          </cell>
        </row>
        <row r="64">
          <cell r="B64" t="str">
            <v>Усть-Люгинское</v>
          </cell>
        </row>
        <row r="65">
          <cell r="B65" t="str">
            <v>Чекашевское</v>
          </cell>
        </row>
      </sheetData>
      <sheetData sheetId="16" refreshError="1">
        <row r="1">
          <cell r="I1">
            <v>2011</v>
          </cell>
        </row>
        <row r="2">
          <cell r="I2">
            <v>2012</v>
          </cell>
        </row>
        <row r="3">
          <cell r="I3">
            <v>2013</v>
          </cell>
        </row>
        <row r="4">
          <cell r="I4">
            <v>2014</v>
          </cell>
        </row>
        <row r="5">
          <cell r="I5">
            <v>2015</v>
          </cell>
        </row>
        <row r="6">
          <cell r="I6">
            <v>2016</v>
          </cell>
        </row>
        <row r="7">
          <cell r="I7">
            <v>2017</v>
          </cell>
        </row>
        <row r="8">
          <cell r="I8">
            <v>2018</v>
          </cell>
        </row>
        <row r="9">
          <cell r="I9">
            <v>2019</v>
          </cell>
        </row>
        <row r="10">
          <cell r="I10">
            <v>2020</v>
          </cell>
        </row>
        <row r="11">
          <cell r="I11">
            <v>2021</v>
          </cell>
        </row>
        <row r="12">
          <cell r="I12">
            <v>2022</v>
          </cell>
        </row>
        <row r="13">
          <cell r="I13">
            <v>2023</v>
          </cell>
        </row>
        <row r="14">
          <cell r="I14">
            <v>2024</v>
          </cell>
        </row>
        <row r="15">
          <cell r="I15">
            <v>2025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"/>
      <sheetName val="Корректировка тарифа"/>
      <sheetName val="Корректировка НВВ"/>
      <sheetName val="Расходы на энергоресурсы и ХВС"/>
      <sheetName val="Амортизация"/>
      <sheetName val="Арендные и лизинговые платежи"/>
      <sheetName val="Налоги и сборы"/>
      <sheetName val="Прибыль"/>
      <sheetName val="Проверка"/>
      <sheetName val="et_union"/>
      <sheetName val="AllSheetsInThisWorkbook"/>
      <sheetName val="REESTR_ORG"/>
      <sheetName val="REESTR_FILTERED"/>
      <sheetName val="REESTR_MO"/>
      <sheetName val="TEHSHEET"/>
      <sheetName val="modfrmReestr"/>
      <sheetName val="modCommandButton"/>
      <sheetName val="modServiceModule"/>
      <sheetName val="modReestr"/>
      <sheetName val="modProv"/>
      <sheetName val="modHyp"/>
      <sheetName val="modChange"/>
      <sheetName val="modInfo"/>
    </sheetNames>
    <sheetDataSet>
      <sheetData sheetId="0" refreshError="1">
        <row r="5">
          <cell r="F5" t="str">
            <v>водоотведение</v>
          </cell>
        </row>
        <row r="10">
          <cell r="F10">
            <v>2025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2">
          <cell r="D2" t="str">
            <v>Арбажский муниципальный район</v>
          </cell>
        </row>
        <row r="3">
          <cell r="D3" t="str">
            <v>Афанасьевский муниципальный район</v>
          </cell>
        </row>
        <row r="4">
          <cell r="D4" t="str">
            <v>Белохолуницкий муниципальный район</v>
          </cell>
        </row>
        <row r="5">
          <cell r="D5" t="str">
            <v>Богородский муниципальный район</v>
          </cell>
        </row>
        <row r="6">
          <cell r="D6" t="str">
            <v>Верхнекамский муниципальный район</v>
          </cell>
        </row>
        <row r="7">
          <cell r="D7" t="str">
            <v>Верхошижемский муниципальный район</v>
          </cell>
        </row>
        <row r="8">
          <cell r="D8" t="str">
            <v>Вятские Поляны</v>
          </cell>
        </row>
        <row r="9">
          <cell r="D9" t="str">
            <v>Вятскополянский муниципальный район</v>
          </cell>
        </row>
        <row r="10">
          <cell r="D10" t="str">
            <v>Даровской муниципальный район</v>
          </cell>
        </row>
        <row r="11">
          <cell r="D11" t="str">
            <v>ЗАТО Первомайский</v>
          </cell>
        </row>
        <row r="12">
          <cell r="D12" t="str">
            <v>Зуевский муниципальный район</v>
          </cell>
        </row>
        <row r="13">
          <cell r="D13" t="str">
            <v>Кикнурский муниципальный район</v>
          </cell>
        </row>
        <row r="14">
          <cell r="D14" t="str">
            <v>Кильмезский муниципальный район</v>
          </cell>
        </row>
        <row r="15">
          <cell r="D15" t="str">
            <v>Киров</v>
          </cell>
        </row>
        <row r="16">
          <cell r="D16" t="str">
            <v>Кирово-Чепецк</v>
          </cell>
        </row>
        <row r="17">
          <cell r="D17" t="str">
            <v>Кирово-Чепецкий муниципальный район</v>
          </cell>
        </row>
        <row r="18">
          <cell r="D18" t="str">
            <v>Котельнич</v>
          </cell>
        </row>
        <row r="19">
          <cell r="D19" t="str">
            <v>Котельничский муниципальный район</v>
          </cell>
        </row>
        <row r="20">
          <cell r="D20" t="str">
            <v>Куменский муниципальный район</v>
          </cell>
        </row>
        <row r="21">
          <cell r="D21" t="str">
            <v>Лебяжский муниципальный район</v>
          </cell>
        </row>
        <row r="22">
          <cell r="D22" t="str">
            <v>Лузский муниципальный район</v>
          </cell>
        </row>
        <row r="23">
          <cell r="D23" t="str">
            <v>Малмыжский муниципальный район</v>
          </cell>
        </row>
        <row r="24">
          <cell r="D24" t="str">
            <v>Мурашинский муниципальный район</v>
          </cell>
        </row>
        <row r="25">
          <cell r="D25" t="str">
            <v>Нагорский муниципальный район</v>
          </cell>
        </row>
        <row r="26">
          <cell r="D26" t="str">
            <v>Немский муниципальный район</v>
          </cell>
        </row>
        <row r="27">
          <cell r="D27" t="str">
            <v>Нолинский муниципальный район</v>
          </cell>
        </row>
        <row r="28">
          <cell r="D28" t="str">
            <v>Омутнинский муниципальный район</v>
          </cell>
        </row>
        <row r="29">
          <cell r="D29" t="str">
            <v>Опаринский муниципальный район</v>
          </cell>
        </row>
        <row r="30">
          <cell r="D30" t="str">
            <v>Оричевский муниципальный район</v>
          </cell>
        </row>
        <row r="31">
          <cell r="D31" t="str">
            <v>Орловский муниципальный район</v>
          </cell>
        </row>
        <row r="32">
          <cell r="D32" t="str">
            <v>Пижанский муниципальный район</v>
          </cell>
        </row>
        <row r="33">
          <cell r="D33" t="str">
            <v>Подосиновский муниципальный район</v>
          </cell>
        </row>
        <row r="34">
          <cell r="D34" t="str">
            <v>Санчурский муниципальный район</v>
          </cell>
        </row>
        <row r="35">
          <cell r="D35" t="str">
            <v>Свечинский муниципальный район</v>
          </cell>
        </row>
        <row r="36">
          <cell r="D36" t="str">
            <v>Слободской</v>
          </cell>
        </row>
        <row r="37">
          <cell r="D37" t="str">
            <v>Слободской муниципальный район</v>
          </cell>
        </row>
        <row r="38">
          <cell r="D38" t="str">
            <v>Советский муниципальный район</v>
          </cell>
        </row>
        <row r="39">
          <cell r="D39" t="str">
            <v>Сунский муниципальный район</v>
          </cell>
        </row>
        <row r="40">
          <cell r="D40" t="str">
            <v>Тужинский муниципальный район</v>
          </cell>
        </row>
        <row r="41">
          <cell r="D41" t="str">
            <v>Унинский муниципальный район</v>
          </cell>
        </row>
        <row r="42">
          <cell r="D42" t="str">
            <v>Уржумский муниципальный район</v>
          </cell>
        </row>
        <row r="43">
          <cell r="D43" t="str">
            <v>Фаленский муниципальный район</v>
          </cell>
        </row>
        <row r="44">
          <cell r="D44" t="str">
            <v>Шабалинский муниципальный район</v>
          </cell>
        </row>
        <row r="45">
          <cell r="D45" t="str">
            <v>Юрьянский муниципальный район</v>
          </cell>
        </row>
        <row r="46">
          <cell r="D46" t="str">
            <v>Яранский муниципальный район</v>
          </cell>
        </row>
      </sheetData>
      <sheetData sheetId="14" refreshError="1">
        <row r="1">
          <cell r="I1">
            <v>2011</v>
          </cell>
        </row>
        <row r="2">
          <cell r="I2">
            <v>2012</v>
          </cell>
        </row>
        <row r="3">
          <cell r="I3">
            <v>2013</v>
          </cell>
        </row>
        <row r="4">
          <cell r="I4">
            <v>2014</v>
          </cell>
        </row>
        <row r="5">
          <cell r="I5">
            <v>2015</v>
          </cell>
        </row>
        <row r="6">
          <cell r="I6">
            <v>2016</v>
          </cell>
        </row>
        <row r="7">
          <cell r="I7">
            <v>2017</v>
          </cell>
        </row>
        <row r="8">
          <cell r="I8">
            <v>2018</v>
          </cell>
        </row>
        <row r="9">
          <cell r="I9">
            <v>2019</v>
          </cell>
        </row>
        <row r="10">
          <cell r="I10">
            <v>2020</v>
          </cell>
        </row>
        <row r="11">
          <cell r="I11">
            <v>2021</v>
          </cell>
        </row>
        <row r="12">
          <cell r="I12">
            <v>2022</v>
          </cell>
        </row>
        <row r="13">
          <cell r="I13">
            <v>2023</v>
          </cell>
        </row>
        <row r="14">
          <cell r="I14">
            <v>2024</v>
          </cell>
        </row>
        <row r="15">
          <cell r="I15">
            <v>2025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Лист1"/>
      <sheetName val="П 1"/>
      <sheetName val="П 4"/>
      <sheetName val="regs"/>
      <sheetName val="Справочники"/>
      <sheetName val="1"/>
      <sheetName val="Титульный"/>
      <sheetName val="TSheet"/>
      <sheetName val="к2"/>
      <sheetName val="Контроль"/>
      <sheetName val="tsh"/>
      <sheetName val="Анализ"/>
      <sheetName val="11"/>
      <sheetName val="ORGS"/>
      <sheetName val="Обнулить"/>
      <sheetName val="TEHSHEET"/>
      <sheetName val="3.6.1."/>
      <sheetName val="REESTR"/>
      <sheetName val="FST5"/>
      <sheetName val="СЛ7"/>
      <sheetName val="REESTR_MO"/>
      <sheetName val="СЛ3"/>
      <sheetName val="Титульный лист"/>
      <sheetName val="Инструкция"/>
      <sheetName val="таблица7 (технол.нужды)"/>
      <sheetName val="таблица7 (хоз.нужды)"/>
      <sheetName val="Заголовок"/>
      <sheetName val="П 21-1"/>
      <sheetName val="КУ1"/>
      <sheetName val="ИТ№4"/>
      <sheetName val="П№11"/>
      <sheetName val="П№12"/>
      <sheetName val="П№10"/>
      <sheetName val="Заголовок2"/>
      <sheetName val="данные"/>
      <sheetName val="П№5"/>
      <sheetName val="Т№2"/>
      <sheetName val="Лист3"/>
      <sheetName val="Смета"/>
      <sheetName val="2"/>
      <sheetName val="3"/>
      <sheetName val="4"/>
      <sheetName val="5"/>
      <sheetName val="6"/>
      <sheetName val="Справочник"/>
      <sheetName val="Баланс"/>
      <sheetName val="0"/>
      <sheetName val="2.1"/>
      <sheetName val="2.2"/>
      <sheetName val="2.3"/>
      <sheetName val="РчСтЭЭ_Ф"/>
      <sheetName val="ИП"/>
      <sheetName val="Ист-ики финанс-я"/>
      <sheetName val="Расчет прибыли"/>
      <sheetName val="РчСтГМ_УП"/>
      <sheetName val="РчСтГМ_Ф"/>
      <sheetName val="MAIN"/>
      <sheetName val="информ.объемы"/>
      <sheetName val="111"/>
      <sheetName val="Баланс. комиссия (ФЭП)"/>
      <sheetName val="ээ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B39545-D12A-4E9C-B230-EBAF203D75C3}">
  <sheetPr>
    <pageSetUpPr fitToPage="1"/>
  </sheetPr>
  <dimension ref="A1:BA271"/>
  <sheetViews>
    <sheetView tabSelected="1" topLeftCell="K11" workbookViewId="0">
      <selection activeCell="M144" sqref="M144"/>
    </sheetView>
  </sheetViews>
  <sheetFormatPr defaultColWidth="9.140625" defaultRowHeight="10.5" outlineLevelRow="1" x14ac:dyDescent="0.25"/>
  <cols>
    <col min="1" max="10" width="2.7109375" style="520" hidden="1" customWidth="1"/>
    <col min="11" max="11" width="3.7109375" style="520" customWidth="1"/>
    <col min="12" max="12" width="8.7109375" style="521" customWidth="1"/>
    <col min="13" max="13" width="70.7109375" style="522" customWidth="1"/>
    <col min="14" max="14" width="12.7109375" style="521" customWidth="1"/>
    <col min="15" max="17" width="13.28515625" style="520" customWidth="1"/>
    <col min="18" max="18" width="19.7109375" style="520" hidden="1" customWidth="1"/>
    <col min="19" max="20" width="13.28515625" style="520" customWidth="1"/>
    <col min="21" max="29" width="13.28515625" style="520" hidden="1" customWidth="1"/>
    <col min="30" max="30" width="13.28515625" style="520" customWidth="1"/>
    <col min="31" max="49" width="13.28515625" style="520" hidden="1" customWidth="1"/>
    <col min="50" max="50" width="19.5703125" style="520" hidden="1" customWidth="1"/>
    <col min="51" max="51" width="17.85546875" style="520" hidden="1" customWidth="1"/>
    <col min="52" max="52" width="31.85546875" style="520" hidden="1" customWidth="1"/>
    <col min="53" max="53" width="17.85546875" style="520" customWidth="1"/>
    <col min="54" max="16384" width="9.140625" style="520"/>
  </cols>
  <sheetData>
    <row r="1" spans="1:53" ht="11.25" hidden="1" x14ac:dyDescent="0.25">
      <c r="O1" s="520" t="e">
        <f>god-2</f>
        <v>#REF!</v>
      </c>
      <c r="P1" s="520" t="e">
        <f>god-2</f>
        <v>#REF!</v>
      </c>
      <c r="Q1" s="520" t="e">
        <f>god-2</f>
        <v>#REF!</v>
      </c>
      <c r="R1" s="520" t="e">
        <f>god-2</f>
        <v>#REF!</v>
      </c>
      <c r="S1" s="523" t="e">
        <f>god-1</f>
        <v>#REF!</v>
      </c>
      <c r="T1" s="523" t="e">
        <f>god</f>
        <v>#REF!</v>
      </c>
      <c r="U1" s="523" t="e">
        <f>god+1</f>
        <v>#REF!</v>
      </c>
      <c r="V1" s="523" t="e">
        <f>god+2</f>
        <v>#REF!</v>
      </c>
      <c r="W1" s="523" t="e">
        <f>god+3</f>
        <v>#REF!</v>
      </c>
      <c r="X1" s="523" t="e">
        <f>god+4</f>
        <v>#REF!</v>
      </c>
      <c r="Y1" s="523" t="e">
        <f>god+5</f>
        <v>#REF!</v>
      </c>
      <c r="Z1" s="523" t="e">
        <f>god+6</f>
        <v>#REF!</v>
      </c>
      <c r="AA1" s="523" t="e">
        <f>god+7</f>
        <v>#REF!</v>
      </c>
      <c r="AB1" s="523" t="e">
        <f>god+8</f>
        <v>#REF!</v>
      </c>
      <c r="AC1" s="523" t="e">
        <f>god+9</f>
        <v>#REF!</v>
      </c>
      <c r="AD1" s="523" t="e">
        <f>god</f>
        <v>#REF!</v>
      </c>
      <c r="AE1" s="523" t="e">
        <f>god+1</f>
        <v>#REF!</v>
      </c>
      <c r="AF1" s="523" t="e">
        <f>god+2</f>
        <v>#REF!</v>
      </c>
      <c r="AG1" s="523" t="e">
        <f>god+3</f>
        <v>#REF!</v>
      </c>
      <c r="AH1" s="523" t="e">
        <f>god+4</f>
        <v>#REF!</v>
      </c>
      <c r="AI1" s="523" t="e">
        <f>god+5</f>
        <v>#REF!</v>
      </c>
      <c r="AJ1" s="523" t="e">
        <f>god+6</f>
        <v>#REF!</v>
      </c>
      <c r="AK1" s="523" t="e">
        <f>god+7</f>
        <v>#REF!</v>
      </c>
      <c r="AL1" s="523" t="e">
        <f>god+8</f>
        <v>#REF!</v>
      </c>
      <c r="AM1" s="523" t="e">
        <f>god+9</f>
        <v>#REF!</v>
      </c>
      <c r="AN1" s="523" t="e">
        <f>god</f>
        <v>#REF!</v>
      </c>
      <c r="AO1" s="523" t="e">
        <f>god+1</f>
        <v>#REF!</v>
      </c>
      <c r="AP1" s="523" t="e">
        <f>god+2</f>
        <v>#REF!</v>
      </c>
      <c r="AQ1" s="523" t="e">
        <f>god+3</f>
        <v>#REF!</v>
      </c>
      <c r="AR1" s="523" t="e">
        <f>god+4</f>
        <v>#REF!</v>
      </c>
      <c r="AS1" s="523" t="e">
        <f>god+5</f>
        <v>#REF!</v>
      </c>
      <c r="AT1" s="523" t="e">
        <f>god+6</f>
        <v>#REF!</v>
      </c>
      <c r="AU1" s="523" t="e">
        <f>god+7</f>
        <v>#REF!</v>
      </c>
      <c r="AV1" s="523" t="e">
        <f>god+8</f>
        <v>#REF!</v>
      </c>
      <c r="AW1" s="523" t="e">
        <f>god+9</f>
        <v>#REF!</v>
      </c>
    </row>
    <row r="2" spans="1:53" ht="11.25" hidden="1" x14ac:dyDescent="0.25">
      <c r="O2" s="523" t="str">
        <f>O15</f>
        <v>Принято органом регулирования</v>
      </c>
      <c r="P2" s="523" t="str">
        <f>P15</f>
        <v>Факт по данным организации</v>
      </c>
      <c r="Q2" s="523" t="str">
        <f>Q15</f>
        <v>Факт, принятый органом регулирования</v>
      </c>
      <c r="R2" s="523" t="str">
        <f>R15</f>
        <v>отклонение факта по данным организации к факту принятому органом регулирования</v>
      </c>
      <c r="S2" s="523" t="str">
        <f>S15</f>
        <v>Принято органом регулирования</v>
      </c>
      <c r="T2" s="523" t="str">
        <f>$T$15</f>
        <v>Предложение организации</v>
      </c>
      <c r="U2" s="523" t="str">
        <f t="shared" ref="U2:AC2" si="0">$T$15</f>
        <v>Предложение организации</v>
      </c>
      <c r="V2" s="523" t="str">
        <f t="shared" si="0"/>
        <v>Предложение организации</v>
      </c>
      <c r="W2" s="523" t="str">
        <f t="shared" si="0"/>
        <v>Предложение организации</v>
      </c>
      <c r="X2" s="523" t="str">
        <f t="shared" si="0"/>
        <v>Предложение организации</v>
      </c>
      <c r="Y2" s="523" t="str">
        <f t="shared" si="0"/>
        <v>Предложение организации</v>
      </c>
      <c r="Z2" s="523" t="str">
        <f t="shared" si="0"/>
        <v>Предложение организации</v>
      </c>
      <c r="AA2" s="523" t="str">
        <f t="shared" si="0"/>
        <v>Предложение организации</v>
      </c>
      <c r="AB2" s="523" t="str">
        <f t="shared" si="0"/>
        <v>Предложение организации</v>
      </c>
      <c r="AC2" s="523" t="str">
        <f t="shared" si="0"/>
        <v>Предложение организации</v>
      </c>
      <c r="AD2" s="523" t="str">
        <f>$AD$15</f>
        <v>Принято органом регулирования</v>
      </c>
      <c r="AE2" s="523" t="str">
        <f t="shared" ref="AE2:AM2" si="1">$AD$15</f>
        <v>Принято органом регулирования</v>
      </c>
      <c r="AF2" s="523" t="str">
        <f t="shared" si="1"/>
        <v>Принято органом регулирования</v>
      </c>
      <c r="AG2" s="523" t="str">
        <f t="shared" si="1"/>
        <v>Принято органом регулирования</v>
      </c>
      <c r="AH2" s="523" t="str">
        <f t="shared" si="1"/>
        <v>Принято органом регулирования</v>
      </c>
      <c r="AI2" s="523" t="str">
        <f t="shared" si="1"/>
        <v>Принято органом регулирования</v>
      </c>
      <c r="AJ2" s="523" t="str">
        <f t="shared" si="1"/>
        <v>Принято органом регулирования</v>
      </c>
      <c r="AK2" s="523" t="str">
        <f t="shared" si="1"/>
        <v>Принято органом регулирования</v>
      </c>
      <c r="AL2" s="523" t="str">
        <f t="shared" si="1"/>
        <v>Принято органом регулирования</v>
      </c>
      <c r="AM2" s="523" t="str">
        <f t="shared" si="1"/>
        <v>Принято органом регулирования</v>
      </c>
      <c r="AN2" s="523"/>
      <c r="AO2" s="523"/>
      <c r="AP2" s="523"/>
      <c r="AQ2" s="523"/>
      <c r="AR2" s="523"/>
      <c r="AS2" s="523"/>
      <c r="AT2" s="523"/>
      <c r="AU2" s="523"/>
      <c r="AV2" s="523"/>
      <c r="AW2" s="523"/>
    </row>
    <row r="3" spans="1:53" ht="11.25" hidden="1" x14ac:dyDescent="0.25">
      <c r="O3" s="523" t="e">
        <f t="shared" ref="O3:AM3" si="2">O1&amp;O2</f>
        <v>#REF!</v>
      </c>
      <c r="P3" s="523" t="e">
        <f t="shared" si="2"/>
        <v>#REF!</v>
      </c>
      <c r="Q3" s="523" t="e">
        <f t="shared" si="2"/>
        <v>#REF!</v>
      </c>
      <c r="R3" s="523" t="e">
        <f t="shared" si="2"/>
        <v>#REF!</v>
      </c>
      <c r="S3" s="523" t="e">
        <f t="shared" si="2"/>
        <v>#REF!</v>
      </c>
      <c r="T3" s="523" t="e">
        <f t="shared" si="2"/>
        <v>#REF!</v>
      </c>
      <c r="U3" s="523" t="e">
        <f t="shared" si="2"/>
        <v>#REF!</v>
      </c>
      <c r="V3" s="523" t="e">
        <f t="shared" si="2"/>
        <v>#REF!</v>
      </c>
      <c r="W3" s="523" t="e">
        <f t="shared" si="2"/>
        <v>#REF!</v>
      </c>
      <c r="X3" s="523" t="e">
        <f t="shared" si="2"/>
        <v>#REF!</v>
      </c>
      <c r="Y3" s="523" t="e">
        <f t="shared" si="2"/>
        <v>#REF!</v>
      </c>
      <c r="Z3" s="523" t="e">
        <f t="shared" si="2"/>
        <v>#REF!</v>
      </c>
      <c r="AA3" s="523" t="e">
        <f t="shared" si="2"/>
        <v>#REF!</v>
      </c>
      <c r="AB3" s="523" t="e">
        <f t="shared" si="2"/>
        <v>#REF!</v>
      </c>
      <c r="AC3" s="523" t="e">
        <f t="shared" si="2"/>
        <v>#REF!</v>
      </c>
      <c r="AD3" s="523" t="e">
        <f t="shared" si="2"/>
        <v>#REF!</v>
      </c>
      <c r="AE3" s="523" t="e">
        <f t="shared" si="2"/>
        <v>#REF!</v>
      </c>
      <c r="AF3" s="523" t="e">
        <f t="shared" si="2"/>
        <v>#REF!</v>
      </c>
      <c r="AG3" s="523" t="e">
        <f t="shared" si="2"/>
        <v>#REF!</v>
      </c>
      <c r="AH3" s="523" t="e">
        <f t="shared" si="2"/>
        <v>#REF!</v>
      </c>
      <c r="AI3" s="523" t="e">
        <f t="shared" si="2"/>
        <v>#REF!</v>
      </c>
      <c r="AJ3" s="523" t="e">
        <f t="shared" si="2"/>
        <v>#REF!</v>
      </c>
      <c r="AK3" s="523" t="e">
        <f t="shared" si="2"/>
        <v>#REF!</v>
      </c>
      <c r="AL3" s="523" t="e">
        <f t="shared" si="2"/>
        <v>#REF!</v>
      </c>
      <c r="AM3" s="523" t="e">
        <f t="shared" si="2"/>
        <v>#REF!</v>
      </c>
      <c r="AN3" s="523"/>
      <c r="AO3" s="523"/>
      <c r="AP3" s="523"/>
      <c r="AQ3" s="523"/>
      <c r="AR3" s="523"/>
      <c r="AS3" s="523"/>
      <c r="AT3" s="523"/>
      <c r="AU3" s="523"/>
      <c r="AV3" s="523"/>
      <c r="AW3" s="523"/>
    </row>
    <row r="4" spans="1:53" ht="11.25" hidden="1" x14ac:dyDescent="0.25">
      <c r="T4" s="523"/>
      <c r="U4" s="523"/>
      <c r="V4" s="523"/>
      <c r="W4" s="523"/>
      <c r="X4" s="523"/>
      <c r="Y4" s="523"/>
      <c r="Z4" s="523"/>
      <c r="AA4" s="523"/>
      <c r="AB4" s="523"/>
      <c r="AC4" s="523"/>
      <c r="AD4" s="523"/>
      <c r="AE4" s="523"/>
      <c r="AF4" s="523"/>
      <c r="AG4" s="523"/>
      <c r="AH4" s="523"/>
      <c r="AI4" s="523"/>
      <c r="AJ4" s="523"/>
      <c r="AK4" s="523"/>
      <c r="AL4" s="523"/>
      <c r="AM4" s="523"/>
      <c r="AN4" s="523"/>
      <c r="AO4" s="523"/>
      <c r="AP4" s="523"/>
      <c r="AQ4" s="523"/>
      <c r="AR4" s="523"/>
      <c r="AS4" s="523"/>
      <c r="AT4" s="523"/>
      <c r="AU4" s="523"/>
      <c r="AV4" s="523"/>
      <c r="AW4" s="523"/>
    </row>
    <row r="5" spans="1:53" ht="11.25" hidden="1" x14ac:dyDescent="0.25">
      <c r="T5" s="523"/>
      <c r="U5" s="523"/>
      <c r="V5" s="523"/>
      <c r="W5" s="523"/>
      <c r="X5" s="523"/>
      <c r="Y5" s="523"/>
      <c r="Z5" s="523"/>
      <c r="AA5" s="523"/>
      <c r="AB5" s="523"/>
      <c r="AC5" s="523"/>
      <c r="AD5" s="523"/>
      <c r="AE5" s="523"/>
      <c r="AF5" s="523"/>
      <c r="AG5" s="523"/>
      <c r="AH5" s="523"/>
      <c r="AI5" s="523"/>
      <c r="AJ5" s="523"/>
      <c r="AK5" s="523"/>
      <c r="AL5" s="523"/>
      <c r="AM5" s="523"/>
      <c r="AN5" s="523"/>
      <c r="AO5" s="523"/>
      <c r="AP5" s="523"/>
      <c r="AQ5" s="523"/>
      <c r="AR5" s="523"/>
      <c r="AS5" s="523"/>
      <c r="AT5" s="523"/>
      <c r="AU5" s="523"/>
      <c r="AV5" s="523"/>
      <c r="AW5" s="523"/>
    </row>
    <row r="6" spans="1:53" ht="11.25" hidden="1" x14ac:dyDescent="0.25">
      <c r="T6" s="523"/>
      <c r="U6" s="523"/>
      <c r="V6" s="523"/>
      <c r="W6" s="523"/>
      <c r="X6" s="523"/>
      <c r="Y6" s="523"/>
      <c r="Z6" s="523"/>
      <c r="AA6" s="523"/>
      <c r="AB6" s="523"/>
      <c r="AC6" s="523"/>
      <c r="AD6" s="523"/>
      <c r="AE6" s="523"/>
      <c r="AF6" s="523"/>
      <c r="AG6" s="523"/>
      <c r="AH6" s="523"/>
      <c r="AI6" s="523"/>
      <c r="AJ6" s="523"/>
      <c r="AK6" s="523"/>
      <c r="AL6" s="523"/>
      <c r="AM6" s="523"/>
      <c r="AN6" s="523"/>
      <c r="AO6" s="523"/>
      <c r="AP6" s="523"/>
      <c r="AQ6" s="523"/>
      <c r="AR6" s="523"/>
      <c r="AS6" s="523"/>
      <c r="AT6" s="523"/>
      <c r="AU6" s="523"/>
      <c r="AV6" s="523"/>
      <c r="AW6" s="523"/>
    </row>
    <row r="7" spans="1:53" ht="11.25" hidden="1" x14ac:dyDescent="0.15">
      <c r="T7" s="524" t="e">
        <f t="shared" ref="T7:AW7" si="3">T1&lt;=last_year_vis</f>
        <v>#REF!</v>
      </c>
      <c r="U7" s="524" t="e">
        <f t="shared" si="3"/>
        <v>#REF!</v>
      </c>
      <c r="V7" s="524" t="e">
        <f t="shared" si="3"/>
        <v>#REF!</v>
      </c>
      <c r="W7" s="524" t="e">
        <f t="shared" si="3"/>
        <v>#REF!</v>
      </c>
      <c r="X7" s="524" t="e">
        <f t="shared" si="3"/>
        <v>#REF!</v>
      </c>
      <c r="Y7" s="524" t="e">
        <f t="shared" si="3"/>
        <v>#REF!</v>
      </c>
      <c r="Z7" s="524" t="e">
        <f t="shared" si="3"/>
        <v>#REF!</v>
      </c>
      <c r="AA7" s="524" t="e">
        <f t="shared" si="3"/>
        <v>#REF!</v>
      </c>
      <c r="AB7" s="524" t="e">
        <f t="shared" si="3"/>
        <v>#REF!</v>
      </c>
      <c r="AC7" s="524" t="e">
        <f t="shared" si="3"/>
        <v>#REF!</v>
      </c>
      <c r="AD7" s="524" t="e">
        <f t="shared" si="3"/>
        <v>#REF!</v>
      </c>
      <c r="AE7" s="524" t="e">
        <f t="shared" si="3"/>
        <v>#REF!</v>
      </c>
      <c r="AF7" s="524" t="e">
        <f t="shared" si="3"/>
        <v>#REF!</v>
      </c>
      <c r="AG7" s="524" t="e">
        <f t="shared" si="3"/>
        <v>#REF!</v>
      </c>
      <c r="AH7" s="524" t="e">
        <f t="shared" si="3"/>
        <v>#REF!</v>
      </c>
      <c r="AI7" s="524" t="e">
        <f t="shared" si="3"/>
        <v>#REF!</v>
      </c>
      <c r="AJ7" s="524" t="e">
        <f t="shared" si="3"/>
        <v>#REF!</v>
      </c>
      <c r="AK7" s="524" t="e">
        <f t="shared" si="3"/>
        <v>#REF!</v>
      </c>
      <c r="AL7" s="524" t="e">
        <f t="shared" si="3"/>
        <v>#REF!</v>
      </c>
      <c r="AM7" s="524" t="e">
        <f t="shared" si="3"/>
        <v>#REF!</v>
      </c>
      <c r="AN7" s="524" t="e">
        <f t="shared" si="3"/>
        <v>#REF!</v>
      </c>
      <c r="AO7" s="524" t="e">
        <f t="shared" si="3"/>
        <v>#REF!</v>
      </c>
      <c r="AP7" s="524" t="e">
        <f t="shared" si="3"/>
        <v>#REF!</v>
      </c>
      <c r="AQ7" s="524" t="e">
        <f t="shared" si="3"/>
        <v>#REF!</v>
      </c>
      <c r="AR7" s="524" t="e">
        <f t="shared" si="3"/>
        <v>#REF!</v>
      </c>
      <c r="AS7" s="524" t="e">
        <f t="shared" si="3"/>
        <v>#REF!</v>
      </c>
      <c r="AT7" s="524" t="e">
        <f t="shared" si="3"/>
        <v>#REF!</v>
      </c>
      <c r="AU7" s="524" t="e">
        <f t="shared" si="3"/>
        <v>#REF!</v>
      </c>
      <c r="AV7" s="524" t="e">
        <f t="shared" si="3"/>
        <v>#REF!</v>
      </c>
      <c r="AW7" s="524" t="e">
        <f t="shared" si="3"/>
        <v>#REF!</v>
      </c>
    </row>
    <row r="8" spans="1:53" hidden="1" x14ac:dyDescent="0.25"/>
    <row r="9" spans="1:53" hidden="1" x14ac:dyDescent="0.25"/>
    <row r="10" spans="1:53" hidden="1" x14ac:dyDescent="0.25"/>
    <row r="11" spans="1:53" ht="15" customHeight="1" x14ac:dyDescent="0.25">
      <c r="L11" s="520"/>
      <c r="M11" s="525" t="s">
        <v>959</v>
      </c>
      <c r="N11" s="520"/>
    </row>
    <row r="12" spans="1:53" s="526" customFormat="1" ht="20.100000000000001" customHeight="1" x14ac:dyDescent="0.25">
      <c r="L12" s="527" t="s">
        <v>570</v>
      </c>
      <c r="M12" s="528"/>
      <c r="N12" s="528"/>
      <c r="O12" s="528"/>
      <c r="P12" s="528"/>
      <c r="Q12" s="528"/>
      <c r="R12" s="528"/>
      <c r="S12" s="528"/>
      <c r="T12" s="528"/>
      <c r="U12" s="528"/>
      <c r="V12" s="528"/>
      <c r="W12" s="528"/>
      <c r="X12" s="528"/>
      <c r="Y12" s="528"/>
      <c r="Z12" s="528"/>
      <c r="AA12" s="528"/>
      <c r="AB12" s="528"/>
      <c r="AC12" s="528"/>
      <c r="AD12" s="528"/>
      <c r="AE12" s="528"/>
      <c r="AF12" s="528"/>
      <c r="AG12" s="528"/>
      <c r="AH12" s="528"/>
      <c r="AI12" s="528"/>
      <c r="AJ12" s="528"/>
      <c r="AK12" s="528"/>
      <c r="AL12" s="528"/>
      <c r="AM12" s="528"/>
      <c r="AN12" s="528"/>
      <c r="AO12" s="528"/>
      <c r="AP12" s="528"/>
      <c r="AQ12" s="528"/>
      <c r="AR12" s="528"/>
      <c r="AS12" s="528"/>
      <c r="AT12" s="528"/>
      <c r="AU12" s="528"/>
      <c r="AV12" s="528"/>
      <c r="AW12" s="528"/>
      <c r="AX12" s="528"/>
      <c r="AY12" s="528"/>
      <c r="AZ12" s="528"/>
    </row>
    <row r="13" spans="1:53" s="526" customFormat="1" x14ac:dyDescent="0.25">
      <c r="L13" s="529"/>
      <c r="M13" s="529"/>
      <c r="N13" s="529"/>
      <c r="O13" s="529"/>
      <c r="P13" s="529"/>
      <c r="Q13" s="529"/>
      <c r="R13" s="529"/>
      <c r="S13" s="529"/>
      <c r="T13" s="529"/>
      <c r="U13" s="529"/>
      <c r="V13" s="529"/>
      <c r="W13" s="529"/>
      <c r="X13" s="529"/>
      <c r="Y13" s="529"/>
      <c r="Z13" s="529"/>
      <c r="AA13" s="529"/>
      <c r="AB13" s="529"/>
      <c r="AC13" s="529"/>
      <c r="AD13" s="529"/>
      <c r="AE13" s="529"/>
      <c r="AF13" s="529"/>
      <c r="AG13" s="529"/>
      <c r="AH13" s="529"/>
      <c r="AI13" s="529"/>
      <c r="AJ13" s="529"/>
      <c r="AK13" s="529"/>
      <c r="AL13" s="529"/>
      <c r="AM13" s="529"/>
      <c r="AN13" s="529"/>
      <c r="AO13" s="529"/>
      <c r="AP13" s="529"/>
      <c r="AQ13" s="529"/>
      <c r="AR13" s="529"/>
      <c r="AS13" s="529"/>
      <c r="AT13" s="529"/>
      <c r="AU13" s="529"/>
      <c r="AV13" s="529"/>
      <c r="AW13" s="529"/>
      <c r="AX13" s="529"/>
      <c r="AY13" s="529"/>
      <c r="AZ13" s="529"/>
    </row>
    <row r="14" spans="1:53" s="522" customFormat="1" ht="24.75" customHeight="1" x14ac:dyDescent="0.25">
      <c r="L14" s="614" t="s">
        <v>1</v>
      </c>
      <c r="M14" s="614" t="s">
        <v>379</v>
      </c>
      <c r="N14" s="614" t="s">
        <v>353</v>
      </c>
      <c r="O14" s="530" t="s">
        <v>952</v>
      </c>
      <c r="P14" s="530" t="s">
        <v>952</v>
      </c>
      <c r="Q14" s="530" t="s">
        <v>952</v>
      </c>
      <c r="R14" s="530" t="s">
        <v>952</v>
      </c>
      <c r="S14" s="531" t="s">
        <v>355</v>
      </c>
      <c r="T14" s="532" t="s">
        <v>356</v>
      </c>
      <c r="U14" s="532" t="s">
        <v>357</v>
      </c>
      <c r="V14" s="532" t="s">
        <v>358</v>
      </c>
      <c r="W14" s="532" t="s">
        <v>359</v>
      </c>
      <c r="X14" s="532" t="s">
        <v>953</v>
      </c>
      <c r="Y14" s="532" t="s">
        <v>954</v>
      </c>
      <c r="Z14" s="532" t="s">
        <v>955</v>
      </c>
      <c r="AA14" s="532" t="s">
        <v>956</v>
      </c>
      <c r="AB14" s="532" t="s">
        <v>957</v>
      </c>
      <c r="AC14" s="532" t="s">
        <v>958</v>
      </c>
      <c r="AD14" s="532" t="s">
        <v>356</v>
      </c>
      <c r="AE14" s="532" t="s">
        <v>357</v>
      </c>
      <c r="AF14" s="532" t="s">
        <v>358</v>
      </c>
      <c r="AG14" s="532" t="s">
        <v>359</v>
      </c>
      <c r="AH14" s="532" t="s">
        <v>953</v>
      </c>
      <c r="AI14" s="532" t="s">
        <v>954</v>
      </c>
      <c r="AJ14" s="532" t="s">
        <v>955</v>
      </c>
      <c r="AK14" s="532" t="s">
        <v>956</v>
      </c>
      <c r="AL14" s="532" t="s">
        <v>957</v>
      </c>
      <c r="AM14" s="532" t="s">
        <v>958</v>
      </c>
      <c r="AN14" s="532" t="s">
        <v>356</v>
      </c>
      <c r="AO14" s="532" t="e">
        <f>god+1 &amp; " год"</f>
        <v>#REF!</v>
      </c>
      <c r="AP14" s="532" t="e">
        <f>god+2 &amp; " год"</f>
        <v>#REF!</v>
      </c>
      <c r="AQ14" s="532" t="e">
        <f>god+3 &amp; " год"</f>
        <v>#REF!</v>
      </c>
      <c r="AR14" s="532" t="e">
        <f>god+4 &amp; " год"</f>
        <v>#REF!</v>
      </c>
      <c r="AS14" s="532" t="e">
        <f>god+5 &amp; " год"</f>
        <v>#REF!</v>
      </c>
      <c r="AT14" s="532" t="e">
        <f>god+6 &amp; " год"</f>
        <v>#REF!</v>
      </c>
      <c r="AU14" s="532" t="e">
        <f>god+7 &amp; " год"</f>
        <v>#REF!</v>
      </c>
      <c r="AV14" s="532" t="e">
        <f>god+8 &amp; " год"</f>
        <v>#REF!</v>
      </c>
      <c r="AW14" s="532" t="e">
        <f>god+9 &amp; " год"</f>
        <v>#REF!</v>
      </c>
      <c r="AX14" s="615" t="s">
        <v>571</v>
      </c>
      <c r="AY14" s="615" t="s">
        <v>572</v>
      </c>
      <c r="AZ14" s="615" t="s">
        <v>573</v>
      </c>
      <c r="BA14" s="533"/>
    </row>
    <row r="15" spans="1:53" s="522" customFormat="1" ht="45.75" customHeight="1" x14ac:dyDescent="0.25">
      <c r="L15" s="614"/>
      <c r="M15" s="614"/>
      <c r="N15" s="614"/>
      <c r="O15" s="531" t="s">
        <v>574</v>
      </c>
      <c r="P15" s="531" t="s">
        <v>7</v>
      </c>
      <c r="Q15" s="531" t="s">
        <v>575</v>
      </c>
      <c r="R15" s="530" t="s">
        <v>576</v>
      </c>
      <c r="S15" s="531" t="s">
        <v>574</v>
      </c>
      <c r="T15" s="534" t="s">
        <v>577</v>
      </c>
      <c r="U15" s="534" t="s">
        <v>577</v>
      </c>
      <c r="V15" s="534" t="s">
        <v>577</v>
      </c>
      <c r="W15" s="534" t="s">
        <v>577</v>
      </c>
      <c r="X15" s="534" t="s">
        <v>577</v>
      </c>
      <c r="Y15" s="534" t="s">
        <v>577</v>
      </c>
      <c r="Z15" s="534" t="s">
        <v>577</v>
      </c>
      <c r="AA15" s="534" t="s">
        <v>577</v>
      </c>
      <c r="AB15" s="534" t="s">
        <v>577</v>
      </c>
      <c r="AC15" s="534" t="s">
        <v>577</v>
      </c>
      <c r="AD15" s="534" t="s">
        <v>574</v>
      </c>
      <c r="AE15" s="534" t="s">
        <v>574</v>
      </c>
      <c r="AF15" s="534" t="s">
        <v>574</v>
      </c>
      <c r="AG15" s="534" t="s">
        <v>574</v>
      </c>
      <c r="AH15" s="534" t="s">
        <v>574</v>
      </c>
      <c r="AI15" s="534" t="s">
        <v>574</v>
      </c>
      <c r="AJ15" s="534" t="s">
        <v>574</v>
      </c>
      <c r="AK15" s="534" t="s">
        <v>574</v>
      </c>
      <c r="AL15" s="534" t="s">
        <v>574</v>
      </c>
      <c r="AM15" s="534" t="s">
        <v>574</v>
      </c>
      <c r="AN15" s="615" t="s">
        <v>578</v>
      </c>
      <c r="AO15" s="615"/>
      <c r="AP15" s="615"/>
      <c r="AQ15" s="615"/>
      <c r="AR15" s="615"/>
      <c r="AS15" s="615"/>
      <c r="AT15" s="615"/>
      <c r="AU15" s="615"/>
      <c r="AV15" s="615"/>
      <c r="AW15" s="615"/>
      <c r="AX15" s="615"/>
      <c r="AY15" s="615"/>
      <c r="AZ15" s="615"/>
      <c r="BA15" s="533"/>
    </row>
    <row r="16" spans="1:53" s="537" customFormat="1" ht="11.25" hidden="1" x14ac:dyDescent="0.15">
      <c r="A16" s="535" t="str">
        <f>'[14]Общие сведения'!$D$122</f>
        <v>1</v>
      </c>
      <c r="B16" s="536" t="str">
        <f>INDEX('[14]Общие сведения'!$N$121:$N$148,MATCH($A16,'[14]Общие сведения'!$D$121:$D$148,0))</f>
        <v>одноставочный</v>
      </c>
      <c r="D16" s="536" t="str">
        <f>INDEX('[14]Общие сведения'!$H$121:$H$148,MATCH($A16,'[14]Общие сведения'!$D$121:$D$148,0))</f>
        <v>Водоснабжение</v>
      </c>
      <c r="L16" s="538" t="str">
        <f>INDEX('[14]Общие сведения'!$J$121:$J$148,MATCH($A16,'[14]Общие сведения'!$D$121:$D$148,0))</f>
        <v>Тариф 1 (Водоснабжение) - тариф на питьевую воду</v>
      </c>
      <c r="M16" s="539"/>
      <c r="N16" s="539"/>
      <c r="O16" s="539"/>
      <c r="P16" s="539"/>
      <c r="Q16" s="539"/>
      <c r="R16" s="539"/>
      <c r="S16" s="539"/>
      <c r="T16" s="539"/>
      <c r="U16" s="539"/>
      <c r="V16" s="539"/>
      <c r="W16" s="539"/>
      <c r="X16" s="539"/>
      <c r="Y16" s="539"/>
      <c r="Z16" s="539"/>
      <c r="AA16" s="539"/>
      <c r="AB16" s="539"/>
      <c r="AC16" s="539"/>
      <c r="AD16" s="539"/>
      <c r="AE16" s="539"/>
      <c r="AF16" s="539"/>
      <c r="AG16" s="539"/>
      <c r="AH16" s="539"/>
      <c r="AI16" s="539"/>
      <c r="AJ16" s="539"/>
      <c r="AK16" s="539"/>
      <c r="AL16" s="539"/>
      <c r="AM16" s="539"/>
      <c r="AN16" s="539"/>
      <c r="AO16" s="539"/>
      <c r="AP16" s="539"/>
      <c r="AQ16" s="539"/>
      <c r="AR16" s="539"/>
      <c r="AS16" s="539"/>
      <c r="AT16" s="539"/>
      <c r="AU16" s="539"/>
      <c r="AV16" s="539"/>
      <c r="AW16" s="539"/>
      <c r="AX16" s="539"/>
      <c r="AY16" s="539"/>
      <c r="AZ16" s="539"/>
    </row>
    <row r="17" spans="1:53" s="541" customFormat="1" ht="11.25" hidden="1" outlineLevel="1" x14ac:dyDescent="0.25">
      <c r="A17" s="540" t="str">
        <f>A16</f>
        <v>1</v>
      </c>
      <c r="C17" s="542"/>
      <c r="D17" s="542" t="s">
        <v>579</v>
      </c>
      <c r="L17" s="543" t="s">
        <v>380</v>
      </c>
      <c r="M17" s="544" t="s">
        <v>30</v>
      </c>
      <c r="N17" s="545" t="s">
        <v>123</v>
      </c>
      <c r="O17" s="546">
        <f>SUM(O19,O36,O42,O62,O63,O64)</f>
        <v>8010.21</v>
      </c>
      <c r="P17" s="546" t="e">
        <f>SUM(P19,P36,P42,P62,P63,P64)</f>
        <v>#REF!</v>
      </c>
      <c r="Q17" s="546" t="e">
        <f>SUM(Q19,Q36,Q42,Q62,Q63,Q64)</f>
        <v>#REF!</v>
      </c>
      <c r="R17" s="546" t="e">
        <f t="shared" ref="R17:R62" si="4">Q17-P17</f>
        <v>#REF!</v>
      </c>
      <c r="S17" s="546">
        <f>SUM(S19,S36,S42,S62,S63,S64)</f>
        <v>8001.0899999999992</v>
      </c>
      <c r="T17" s="547">
        <v>9113.6200000000008</v>
      </c>
      <c r="U17" s="547">
        <v>17036.707252863998</v>
      </c>
      <c r="V17" s="547">
        <v>17718.175542978599</v>
      </c>
      <c r="W17" s="547">
        <v>18426.902564697699</v>
      </c>
      <c r="X17" s="547" t="e">
        <f t="shared" ref="X17:AM17" si="5">W17*X18</f>
        <v>#REF!</v>
      </c>
      <c r="Y17" s="547" t="e">
        <f t="shared" si="5"/>
        <v>#REF!</v>
      </c>
      <c r="Z17" s="547" t="e">
        <f t="shared" si="5"/>
        <v>#REF!</v>
      </c>
      <c r="AA17" s="547" t="e">
        <f t="shared" si="5"/>
        <v>#REF!</v>
      </c>
      <c r="AB17" s="547" t="e">
        <f t="shared" si="5"/>
        <v>#REF!</v>
      </c>
      <c r="AC17" s="547" t="e">
        <f t="shared" si="5"/>
        <v>#REF!</v>
      </c>
      <c r="AD17" s="547">
        <v>8380.5</v>
      </c>
      <c r="AE17" s="547">
        <v>8498.0758490971002</v>
      </c>
      <c r="AF17" s="547">
        <v>8749.6188942303997</v>
      </c>
      <c r="AG17" s="547">
        <v>9008.6076134996001</v>
      </c>
      <c r="AH17" s="547" t="e">
        <f t="shared" si="5"/>
        <v>#REF!</v>
      </c>
      <c r="AI17" s="547" t="e">
        <f t="shared" si="5"/>
        <v>#REF!</v>
      </c>
      <c r="AJ17" s="547" t="e">
        <f t="shared" si="5"/>
        <v>#REF!</v>
      </c>
      <c r="AK17" s="547" t="e">
        <f t="shared" si="5"/>
        <v>#REF!</v>
      </c>
      <c r="AL17" s="547" t="e">
        <f t="shared" si="5"/>
        <v>#REF!</v>
      </c>
      <c r="AM17" s="547" t="e">
        <f t="shared" si="5"/>
        <v>#REF!</v>
      </c>
      <c r="AN17" s="546">
        <f>IF(S17=0,0,(AD17-S17)/S17*100)</f>
        <v>4.741978905374153</v>
      </c>
      <c r="AO17" s="546">
        <f t="shared" ref="AO17:AW17" si="6">IF(AD17=0,0,(AE17-AD17)/AD17*100)</f>
        <v>1.4029693824604763</v>
      </c>
      <c r="AP17" s="546">
        <f t="shared" si="6"/>
        <v>2.9600000000002984</v>
      </c>
      <c r="AQ17" s="546">
        <f t="shared" si="6"/>
        <v>2.9599999999997779</v>
      </c>
      <c r="AR17" s="546" t="e">
        <f t="shared" si="6"/>
        <v>#REF!</v>
      </c>
      <c r="AS17" s="546" t="e">
        <f t="shared" si="6"/>
        <v>#REF!</v>
      </c>
      <c r="AT17" s="546" t="e">
        <f t="shared" si="6"/>
        <v>#REF!</v>
      </c>
      <c r="AU17" s="546" t="e">
        <f t="shared" si="6"/>
        <v>#REF!</v>
      </c>
      <c r="AV17" s="546" t="e">
        <f t="shared" si="6"/>
        <v>#REF!</v>
      </c>
      <c r="AW17" s="546" t="e">
        <f t="shared" si="6"/>
        <v>#REF!</v>
      </c>
      <c r="AX17" s="548"/>
      <c r="AY17" s="548"/>
      <c r="AZ17" s="548"/>
      <c r="BA17" s="549"/>
    </row>
    <row r="18" spans="1:53" ht="11.25" hidden="1" outlineLevel="1" x14ac:dyDescent="0.25">
      <c r="A18" s="540" t="str">
        <f t="shared" ref="A18:A81" si="7">A17</f>
        <v>1</v>
      </c>
      <c r="C18" s="550"/>
      <c r="D18" s="550" t="s">
        <v>580</v>
      </c>
      <c r="L18" s="551" t="s">
        <v>12</v>
      </c>
      <c r="M18" s="552" t="s">
        <v>581</v>
      </c>
      <c r="N18" s="553"/>
      <c r="O18" s="554"/>
      <c r="P18" s="554"/>
      <c r="Q18" s="554"/>
      <c r="R18" s="555">
        <f t="shared" si="4"/>
        <v>0</v>
      </c>
      <c r="S18" s="554"/>
      <c r="T18" s="554">
        <v>1.042</v>
      </c>
      <c r="U18" s="554">
        <v>1.04</v>
      </c>
      <c r="V18" s="554">
        <v>1.04</v>
      </c>
      <c r="W18" s="554">
        <v>1.04</v>
      </c>
      <c r="X18" s="554" t="e">
        <f>SUMIFS(INDEX([14]Сценарии!$O$15:$AP$53,,MATCH(X$3,[14]Сценарии!$O$3:$AP$3,0)),[14]Сценарии!$A$15:$A$53,$A18,[14]Сценарии!$B$15:$B$53,"ИОР")</f>
        <v>#REF!</v>
      </c>
      <c r="Y18" s="554" t="e">
        <f>SUMIFS(INDEX([14]Сценарии!$O$15:$AP$53,,MATCH(Y$3,[14]Сценарии!$O$3:$AP$3,0)),[14]Сценарии!$A$15:$A$53,$A18,[14]Сценарии!$B$15:$B$53,"ИОР")</f>
        <v>#REF!</v>
      </c>
      <c r="Z18" s="554" t="e">
        <f>SUMIFS(INDEX([14]Сценарии!$O$15:$AP$53,,MATCH(Z$3,[14]Сценарии!$O$3:$AP$3,0)),[14]Сценарии!$A$15:$A$53,$A18,[14]Сценарии!$B$15:$B$53,"ИОР")</f>
        <v>#REF!</v>
      </c>
      <c r="AA18" s="554" t="e">
        <f>SUMIFS(INDEX([14]Сценарии!$O$15:$AP$53,,MATCH(AA$3,[14]Сценарии!$O$3:$AP$3,0)),[14]Сценарии!$A$15:$A$53,$A18,[14]Сценарии!$B$15:$B$53,"ИОР")</f>
        <v>#REF!</v>
      </c>
      <c r="AB18" s="554" t="e">
        <f>SUMIFS(INDEX([14]Сценарии!$O$15:$AP$53,,MATCH(AB$3,[14]Сценарии!$O$3:$AP$3,0)),[14]Сценарии!$A$15:$A$53,$A18,[14]Сценарии!$B$15:$B$53,"ИОР")</f>
        <v>#REF!</v>
      </c>
      <c r="AC18" s="554" t="e">
        <f>SUMIFS(INDEX([14]Сценарии!$O$15:$AP$53,,MATCH(AC$3,[14]Сценарии!$O$3:$AP$3,0)),[14]Сценарии!$A$15:$A$53,$A18,[14]Сценарии!$B$15:$B$53,"ИОР")</f>
        <v>#REF!</v>
      </c>
      <c r="AD18" s="554">
        <f>AD17/S17</f>
        <v>1.0474197890537416</v>
      </c>
      <c r="AE18" s="554">
        <v>1.04</v>
      </c>
      <c r="AF18" s="554">
        <v>1.04</v>
      </c>
      <c r="AG18" s="554">
        <v>1.04</v>
      </c>
      <c r="AH18" s="554" t="e">
        <f>SUMIFS(INDEX([14]Сценарии!$O$15:$AP$53,,MATCH(AH$3,[14]Сценарии!$O$3:$AP$3,0)),[14]Сценарии!$A$15:$A$53,$A18,[14]Сценарии!$B$15:$B$53,"ИОР")</f>
        <v>#REF!</v>
      </c>
      <c r="AI18" s="554" t="e">
        <f>SUMIFS(INDEX([14]Сценарии!$O$15:$AP$53,,MATCH(AI$3,[14]Сценарии!$O$3:$AP$3,0)),[14]Сценарии!$A$15:$A$53,$A18,[14]Сценарии!$B$15:$B$53,"ИОР")</f>
        <v>#REF!</v>
      </c>
      <c r="AJ18" s="554" t="e">
        <f>SUMIFS(INDEX([14]Сценарии!$O$15:$AP$53,,MATCH(AJ$3,[14]Сценарии!$O$3:$AP$3,0)),[14]Сценарии!$A$15:$A$53,$A18,[14]Сценарии!$B$15:$B$53,"ИОР")</f>
        <v>#REF!</v>
      </c>
      <c r="AK18" s="554" t="e">
        <f>SUMIFS(INDEX([14]Сценарии!$O$15:$AP$53,,MATCH(AK$3,[14]Сценарии!$O$3:$AP$3,0)),[14]Сценарии!$A$15:$A$53,$A18,[14]Сценарии!$B$15:$B$53,"ИОР")</f>
        <v>#REF!</v>
      </c>
      <c r="AL18" s="554" t="e">
        <f>SUMIFS(INDEX([14]Сценарии!$O$15:$AP$53,,MATCH(AL$3,[14]Сценарии!$O$3:$AP$3,0)),[14]Сценарии!$A$15:$A$53,$A18,[14]Сценарии!$B$15:$B$53,"ИОР")</f>
        <v>#REF!</v>
      </c>
      <c r="AM18" s="554" t="e">
        <f>SUMIFS(INDEX([14]Сценарии!$O$15:$AP$53,,MATCH(AM$3,[14]Сценарии!$O$3:$AP$3,0)),[14]Сценарии!$A$15:$A$53,$A18,[14]Сценарии!$B$15:$B$53,"ИОР")</f>
        <v>#REF!</v>
      </c>
      <c r="AN18" s="556"/>
      <c r="AO18" s="556"/>
      <c r="AP18" s="556"/>
      <c r="AQ18" s="556"/>
      <c r="AR18" s="556"/>
      <c r="AS18" s="556"/>
      <c r="AT18" s="556"/>
      <c r="AU18" s="556"/>
      <c r="AV18" s="556"/>
      <c r="AW18" s="556"/>
      <c r="AX18" s="548"/>
      <c r="AY18" s="548"/>
      <c r="AZ18" s="548"/>
    </row>
    <row r="19" spans="1:53" s="549" customFormat="1" ht="21" hidden="1" outlineLevel="1" x14ac:dyDescent="0.25">
      <c r="A19" s="540" t="str">
        <f t="shared" si="7"/>
        <v>1</v>
      </c>
      <c r="C19" s="542"/>
      <c r="D19" s="542" t="s">
        <v>582</v>
      </c>
      <c r="L19" s="543" t="s">
        <v>23</v>
      </c>
      <c r="M19" s="557" t="s">
        <v>583</v>
      </c>
      <c r="N19" s="545" t="s">
        <v>123</v>
      </c>
      <c r="O19" s="546">
        <f>SUM(O20,O23,O24,O27,O28)</f>
        <v>8010.21</v>
      </c>
      <c r="P19" s="546" t="e">
        <f>SUM(P20,P23,P24,P27,P28)</f>
        <v>#REF!</v>
      </c>
      <c r="Q19" s="546" t="e">
        <f>SUM(Q20,Q23,Q24,Q27,Q28)</f>
        <v>#REF!</v>
      </c>
      <c r="R19" s="546" t="e">
        <f t="shared" si="4"/>
        <v>#REF!</v>
      </c>
      <c r="S19" s="546">
        <f>SUM(S20,S23,S24,S27,S28)</f>
        <v>4202.1099999999997</v>
      </c>
      <c r="T19" s="558"/>
      <c r="U19" s="558"/>
      <c r="V19" s="558"/>
      <c r="W19" s="558"/>
      <c r="X19" s="558"/>
      <c r="Y19" s="558"/>
      <c r="Z19" s="558"/>
      <c r="AA19" s="558"/>
      <c r="AB19" s="558"/>
      <c r="AC19" s="558"/>
      <c r="AD19" s="558"/>
      <c r="AE19" s="558"/>
      <c r="AF19" s="558"/>
      <c r="AG19" s="558"/>
      <c r="AH19" s="558"/>
      <c r="AI19" s="558"/>
      <c r="AJ19" s="558"/>
      <c r="AK19" s="558"/>
      <c r="AL19" s="558"/>
      <c r="AM19" s="558"/>
      <c r="AN19" s="558"/>
      <c r="AO19" s="558"/>
      <c r="AP19" s="558"/>
      <c r="AQ19" s="558"/>
      <c r="AR19" s="558"/>
      <c r="AS19" s="558"/>
      <c r="AT19" s="558"/>
      <c r="AU19" s="558"/>
      <c r="AV19" s="558"/>
      <c r="AW19" s="558"/>
      <c r="AX19" s="559"/>
      <c r="AY19" s="559"/>
      <c r="AZ19" s="559"/>
    </row>
    <row r="20" spans="1:53" ht="11.25" hidden="1" outlineLevel="1" x14ac:dyDescent="0.25">
      <c r="A20" s="540" t="str">
        <f t="shared" si="7"/>
        <v>1</v>
      </c>
      <c r="C20" s="550"/>
      <c r="D20" s="550" t="s">
        <v>584</v>
      </c>
      <c r="L20" s="551" t="s">
        <v>25</v>
      </c>
      <c r="M20" s="560" t="s">
        <v>585</v>
      </c>
      <c r="N20" s="561" t="s">
        <v>123</v>
      </c>
      <c r="O20" s="562">
        <f>SUM(O21,O22)</f>
        <v>0</v>
      </c>
      <c r="P20" s="562">
        <f>SUM(P21,P22)</f>
        <v>30.63</v>
      </c>
      <c r="Q20" s="562">
        <f>SUM(Q21,Q22)</f>
        <v>0</v>
      </c>
      <c r="R20" s="562">
        <f t="shared" si="4"/>
        <v>-30.63</v>
      </c>
      <c r="S20" s="562">
        <f>SUM(S21,S22)</f>
        <v>270.33</v>
      </c>
      <c r="T20" s="556"/>
      <c r="U20" s="556"/>
      <c r="V20" s="556"/>
      <c r="W20" s="556"/>
      <c r="X20" s="556"/>
      <c r="Y20" s="556"/>
      <c r="Z20" s="556"/>
      <c r="AA20" s="556"/>
      <c r="AB20" s="556"/>
      <c r="AC20" s="556"/>
      <c r="AD20" s="556"/>
      <c r="AE20" s="556"/>
      <c r="AF20" s="556"/>
      <c r="AG20" s="556"/>
      <c r="AH20" s="556"/>
      <c r="AI20" s="556"/>
      <c r="AJ20" s="556"/>
      <c r="AK20" s="556"/>
      <c r="AL20" s="556"/>
      <c r="AM20" s="556"/>
      <c r="AN20" s="556"/>
      <c r="AO20" s="556"/>
      <c r="AP20" s="556"/>
      <c r="AQ20" s="556"/>
      <c r="AR20" s="556"/>
      <c r="AS20" s="556"/>
      <c r="AT20" s="556"/>
      <c r="AU20" s="556"/>
      <c r="AV20" s="556"/>
      <c r="AW20" s="556"/>
      <c r="AX20" s="548"/>
      <c r="AY20" s="548"/>
      <c r="AZ20" s="548"/>
      <c r="BA20" s="563"/>
    </row>
    <row r="21" spans="1:53" ht="15" hidden="1" outlineLevel="1" x14ac:dyDescent="0.25">
      <c r="A21" s="540" t="str">
        <f t="shared" si="7"/>
        <v>1</v>
      </c>
      <c r="C21" s="550"/>
      <c r="D21" s="550" t="s">
        <v>586</v>
      </c>
      <c r="L21" s="551" t="s">
        <v>587</v>
      </c>
      <c r="M21" s="564" t="s">
        <v>588</v>
      </c>
      <c r="N21" s="565" t="s">
        <v>123</v>
      </c>
      <c r="O21" s="566">
        <v>0</v>
      </c>
      <c r="P21" s="566">
        <v>30.63</v>
      </c>
      <c r="Q21" s="566"/>
      <c r="R21" s="562">
        <f t="shared" si="4"/>
        <v>-30.63</v>
      </c>
      <c r="S21" s="566">
        <v>270.14</v>
      </c>
      <c r="T21" s="556"/>
      <c r="U21" s="556"/>
      <c r="V21" s="556"/>
      <c r="W21" s="556"/>
      <c r="X21" s="556"/>
      <c r="Y21" s="556"/>
      <c r="Z21" s="556"/>
      <c r="AA21" s="556"/>
      <c r="AB21" s="556"/>
      <c r="AC21" s="556"/>
      <c r="AD21" s="556"/>
      <c r="AE21" s="556"/>
      <c r="AF21" s="556"/>
      <c r="AG21" s="556"/>
      <c r="AH21" s="556"/>
      <c r="AI21" s="556"/>
      <c r="AJ21" s="556"/>
      <c r="AK21" s="556"/>
      <c r="AL21" s="556"/>
      <c r="AM21" s="556"/>
      <c r="AN21" s="556"/>
      <c r="AO21" s="556"/>
      <c r="AP21" s="556"/>
      <c r="AQ21" s="556"/>
      <c r="AR21" s="556"/>
      <c r="AS21" s="556"/>
      <c r="AT21" s="556"/>
      <c r="AU21" s="556"/>
      <c r="AV21" s="556"/>
      <c r="AW21" s="556"/>
      <c r="AX21" s="548"/>
      <c r="AY21" s="548"/>
      <c r="AZ21" s="548"/>
    </row>
    <row r="22" spans="1:53" ht="15" hidden="1" outlineLevel="1" x14ac:dyDescent="0.25">
      <c r="A22" s="540" t="str">
        <f t="shared" si="7"/>
        <v>1</v>
      </c>
      <c r="C22" s="550"/>
      <c r="D22" s="550" t="s">
        <v>589</v>
      </c>
      <c r="L22" s="551" t="s">
        <v>590</v>
      </c>
      <c r="M22" s="567" t="s">
        <v>591</v>
      </c>
      <c r="N22" s="565" t="s">
        <v>123</v>
      </c>
      <c r="O22" s="566">
        <v>0</v>
      </c>
      <c r="P22" s="566"/>
      <c r="Q22" s="566"/>
      <c r="R22" s="562">
        <f t="shared" si="4"/>
        <v>0</v>
      </c>
      <c r="S22" s="566">
        <v>0.19</v>
      </c>
      <c r="T22" s="556"/>
      <c r="U22" s="556"/>
      <c r="V22" s="556"/>
      <c r="W22" s="556"/>
      <c r="X22" s="556"/>
      <c r="Y22" s="556"/>
      <c r="Z22" s="556"/>
      <c r="AA22" s="556"/>
      <c r="AB22" s="556"/>
      <c r="AC22" s="556"/>
      <c r="AD22" s="556"/>
      <c r="AE22" s="556"/>
      <c r="AF22" s="556"/>
      <c r="AG22" s="556"/>
      <c r="AH22" s="556"/>
      <c r="AI22" s="556"/>
      <c r="AJ22" s="556"/>
      <c r="AK22" s="556"/>
      <c r="AL22" s="556"/>
      <c r="AM22" s="556"/>
      <c r="AN22" s="556"/>
      <c r="AO22" s="556"/>
      <c r="AP22" s="556"/>
      <c r="AQ22" s="556"/>
      <c r="AR22" s="556"/>
      <c r="AS22" s="556"/>
      <c r="AT22" s="556"/>
      <c r="AU22" s="556"/>
      <c r="AV22" s="556"/>
      <c r="AW22" s="556"/>
      <c r="AX22" s="548"/>
      <c r="AY22" s="548"/>
      <c r="AZ22" s="548"/>
    </row>
    <row r="23" spans="1:53" ht="22.5" hidden="1" outlineLevel="1" x14ac:dyDescent="0.25">
      <c r="A23" s="540" t="str">
        <f t="shared" si="7"/>
        <v>1</v>
      </c>
      <c r="C23" s="550"/>
      <c r="D23" s="550" t="s">
        <v>592</v>
      </c>
      <c r="L23" s="551" t="s">
        <v>27</v>
      </c>
      <c r="M23" s="560" t="s">
        <v>593</v>
      </c>
      <c r="N23" s="561" t="s">
        <v>123</v>
      </c>
      <c r="O23" s="566">
        <v>0</v>
      </c>
      <c r="P23" s="566"/>
      <c r="Q23" s="566"/>
      <c r="R23" s="562">
        <f t="shared" si="4"/>
        <v>0</v>
      </c>
      <c r="S23" s="566"/>
      <c r="T23" s="556"/>
      <c r="U23" s="556"/>
      <c r="V23" s="556"/>
      <c r="W23" s="556"/>
      <c r="X23" s="556"/>
      <c r="Y23" s="556"/>
      <c r="Z23" s="556"/>
      <c r="AA23" s="556"/>
      <c r="AB23" s="556"/>
      <c r="AC23" s="556"/>
      <c r="AD23" s="556"/>
      <c r="AE23" s="556"/>
      <c r="AF23" s="556"/>
      <c r="AG23" s="556"/>
      <c r="AH23" s="556"/>
      <c r="AI23" s="556"/>
      <c r="AJ23" s="556"/>
      <c r="AK23" s="556"/>
      <c r="AL23" s="556"/>
      <c r="AM23" s="556"/>
      <c r="AN23" s="556"/>
      <c r="AO23" s="556"/>
      <c r="AP23" s="556"/>
      <c r="AQ23" s="556"/>
      <c r="AR23" s="556"/>
      <c r="AS23" s="556"/>
      <c r="AT23" s="556"/>
      <c r="AU23" s="556"/>
      <c r="AV23" s="556"/>
      <c r="AW23" s="556"/>
      <c r="AX23" s="548"/>
      <c r="AY23" s="548"/>
      <c r="AZ23" s="548"/>
    </row>
    <row r="24" spans="1:53" ht="22.5" hidden="1" outlineLevel="1" x14ac:dyDescent="0.25">
      <c r="A24" s="540" t="str">
        <f t="shared" si="7"/>
        <v>1</v>
      </c>
      <c r="C24" s="550"/>
      <c r="D24" s="550" t="s">
        <v>594</v>
      </c>
      <c r="L24" s="551" t="s">
        <v>595</v>
      </c>
      <c r="M24" s="560" t="s">
        <v>596</v>
      </c>
      <c r="N24" s="565" t="s">
        <v>123</v>
      </c>
      <c r="O24" s="568">
        <f>O25+O26</f>
        <v>0</v>
      </c>
      <c r="P24" s="568" t="e">
        <f>P25+P26</f>
        <v>#REF!</v>
      </c>
      <c r="Q24" s="568" t="e">
        <f>Q25+Q26</f>
        <v>#REF!</v>
      </c>
      <c r="R24" s="562" t="e">
        <f t="shared" si="4"/>
        <v>#REF!</v>
      </c>
      <c r="S24" s="568">
        <f>S25+S26</f>
        <v>3512.92</v>
      </c>
      <c r="T24" s="556"/>
      <c r="U24" s="556"/>
      <c r="V24" s="556"/>
      <c r="W24" s="556"/>
      <c r="X24" s="556"/>
      <c r="Y24" s="556"/>
      <c r="Z24" s="556"/>
      <c r="AA24" s="556"/>
      <c r="AB24" s="556"/>
      <c r="AC24" s="556"/>
      <c r="AD24" s="556"/>
      <c r="AE24" s="556"/>
      <c r="AF24" s="556"/>
      <c r="AG24" s="556"/>
      <c r="AH24" s="556"/>
      <c r="AI24" s="556"/>
      <c r="AJ24" s="556"/>
      <c r="AK24" s="556"/>
      <c r="AL24" s="556"/>
      <c r="AM24" s="556"/>
      <c r="AN24" s="556"/>
      <c r="AO24" s="556"/>
      <c r="AP24" s="556"/>
      <c r="AQ24" s="556"/>
      <c r="AR24" s="556"/>
      <c r="AS24" s="556"/>
      <c r="AT24" s="556"/>
      <c r="AU24" s="556"/>
      <c r="AV24" s="556"/>
      <c r="AW24" s="556"/>
      <c r="AX24" s="548"/>
      <c r="AY24" s="548"/>
      <c r="AZ24" s="548"/>
    </row>
    <row r="25" spans="1:53" ht="15" hidden="1" outlineLevel="1" x14ac:dyDescent="0.25">
      <c r="A25" s="540" t="str">
        <f t="shared" si="7"/>
        <v>1</v>
      </c>
      <c r="B25" s="569" t="s">
        <v>597</v>
      </c>
      <c r="C25" s="550"/>
      <c r="D25" s="550" t="s">
        <v>598</v>
      </c>
      <c r="L25" s="551" t="s">
        <v>599</v>
      </c>
      <c r="M25" s="564" t="s">
        <v>600</v>
      </c>
      <c r="N25" s="561" t="s">
        <v>123</v>
      </c>
      <c r="O25" s="566">
        <v>0</v>
      </c>
      <c r="P25" s="566">
        <v>4143.92</v>
      </c>
      <c r="Q25" s="566"/>
      <c r="R25" s="562">
        <f t="shared" si="4"/>
        <v>-4143.92</v>
      </c>
      <c r="S25" s="566">
        <v>3512.92</v>
      </c>
      <c r="T25" s="556"/>
      <c r="U25" s="556"/>
      <c r="V25" s="556"/>
      <c r="W25" s="556"/>
      <c r="X25" s="556"/>
      <c r="Y25" s="556"/>
      <c r="Z25" s="556"/>
      <c r="AA25" s="556"/>
      <c r="AB25" s="556"/>
      <c r="AC25" s="556"/>
      <c r="AD25" s="556"/>
      <c r="AE25" s="556"/>
      <c r="AF25" s="556"/>
      <c r="AG25" s="556"/>
      <c r="AH25" s="556"/>
      <c r="AI25" s="556"/>
      <c r="AJ25" s="556"/>
      <c r="AK25" s="556"/>
      <c r="AL25" s="556"/>
      <c r="AM25" s="556"/>
      <c r="AN25" s="556"/>
      <c r="AO25" s="556"/>
      <c r="AP25" s="556"/>
      <c r="AQ25" s="556"/>
      <c r="AR25" s="556"/>
      <c r="AS25" s="556"/>
      <c r="AT25" s="556"/>
      <c r="AU25" s="556"/>
      <c r="AV25" s="556"/>
      <c r="AW25" s="556"/>
      <c r="AX25" s="548"/>
      <c r="AY25" s="548"/>
      <c r="AZ25" s="548"/>
    </row>
    <row r="26" spans="1:53" ht="30" hidden="1" outlineLevel="1" x14ac:dyDescent="0.25">
      <c r="A26" s="540" t="str">
        <f t="shared" si="7"/>
        <v>1</v>
      </c>
      <c r="B26" s="569" t="s">
        <v>601</v>
      </c>
      <c r="C26" s="550"/>
      <c r="D26" s="550" t="s">
        <v>602</v>
      </c>
      <c r="L26" s="551" t="s">
        <v>603</v>
      </c>
      <c r="M26" s="564" t="s">
        <v>604</v>
      </c>
      <c r="N26" s="565" t="s">
        <v>123</v>
      </c>
      <c r="O26" s="566">
        <v>0</v>
      </c>
      <c r="P26" s="566" t="e">
        <f>P25* SUMIFS(INDEX([14]Сценарии!$O$15:$AP$53,,MATCH(P$3,[14]Сценарии!$O$3:$AP$3,0)),[14]Сценарии!$A$15:$A$53,$A26,[14]Сценарии!$B$15:$B$53,"СВФОТ")/100</f>
        <v>#REF!</v>
      </c>
      <c r="Q26" s="566" t="e">
        <f>Q25* SUMIFS(INDEX([14]Сценарии!$O$15:$AP$53,,MATCH(Q$3,[14]Сценарии!$O$3:$AP$3,0)),[14]Сценарии!$A$15:$A$53,$A26,[14]Сценарии!$B$15:$B$53,"СВФОТ")/100</f>
        <v>#REF!</v>
      </c>
      <c r="R26" s="562" t="e">
        <f t="shared" si="4"/>
        <v>#REF!</v>
      </c>
      <c r="S26" s="566">
        <v>0</v>
      </c>
      <c r="T26" s="556"/>
      <c r="U26" s="556"/>
      <c r="V26" s="556"/>
      <c r="W26" s="556"/>
      <c r="X26" s="556"/>
      <c r="Y26" s="556"/>
      <c r="Z26" s="556"/>
      <c r="AA26" s="556"/>
      <c r="AB26" s="556"/>
      <c r="AC26" s="556"/>
      <c r="AD26" s="556"/>
      <c r="AE26" s="556"/>
      <c r="AF26" s="556"/>
      <c r="AG26" s="556"/>
      <c r="AH26" s="556"/>
      <c r="AI26" s="556"/>
      <c r="AJ26" s="556"/>
      <c r="AK26" s="556"/>
      <c r="AL26" s="556"/>
      <c r="AM26" s="556"/>
      <c r="AN26" s="556"/>
      <c r="AO26" s="556"/>
      <c r="AP26" s="556"/>
      <c r="AQ26" s="556"/>
      <c r="AR26" s="556"/>
      <c r="AS26" s="556"/>
      <c r="AT26" s="556"/>
      <c r="AU26" s="556"/>
      <c r="AV26" s="556"/>
      <c r="AW26" s="556"/>
      <c r="AX26" s="548"/>
      <c r="AY26" s="548"/>
      <c r="AZ26" s="548"/>
    </row>
    <row r="27" spans="1:53" ht="11.25" hidden="1" outlineLevel="1" x14ac:dyDescent="0.25">
      <c r="A27" s="540" t="str">
        <f t="shared" si="7"/>
        <v>1</v>
      </c>
      <c r="C27" s="550"/>
      <c r="D27" s="550" t="s">
        <v>605</v>
      </c>
      <c r="L27" s="551" t="s">
        <v>606</v>
      </c>
      <c r="M27" s="560" t="s">
        <v>607</v>
      </c>
      <c r="N27" s="561" t="s">
        <v>123</v>
      </c>
      <c r="O27" s="566">
        <v>8010.21</v>
      </c>
      <c r="P27" s="566"/>
      <c r="Q27" s="566">
        <v>7995.63</v>
      </c>
      <c r="R27" s="562">
        <f t="shared" si="4"/>
        <v>7995.63</v>
      </c>
      <c r="S27" s="566">
        <v>83.02</v>
      </c>
      <c r="T27" s="556"/>
      <c r="U27" s="556"/>
      <c r="V27" s="556"/>
      <c r="W27" s="556"/>
      <c r="X27" s="556"/>
      <c r="Y27" s="556"/>
      <c r="Z27" s="556"/>
      <c r="AA27" s="556"/>
      <c r="AB27" s="556"/>
      <c r="AC27" s="556"/>
      <c r="AD27" s="556"/>
      <c r="AE27" s="556"/>
      <c r="AF27" s="556"/>
      <c r="AG27" s="556"/>
      <c r="AH27" s="556"/>
      <c r="AI27" s="556"/>
      <c r="AJ27" s="556"/>
      <c r="AK27" s="556"/>
      <c r="AL27" s="556"/>
      <c r="AM27" s="556"/>
      <c r="AN27" s="556"/>
      <c r="AO27" s="556"/>
      <c r="AP27" s="556"/>
      <c r="AQ27" s="556"/>
      <c r="AR27" s="556"/>
      <c r="AS27" s="556"/>
      <c r="AT27" s="556"/>
      <c r="AU27" s="556"/>
      <c r="AV27" s="556"/>
      <c r="AW27" s="556"/>
      <c r="AX27" s="548"/>
      <c r="AY27" s="548"/>
      <c r="AZ27" s="548"/>
    </row>
    <row r="28" spans="1:53" ht="15" hidden="1" outlineLevel="1" x14ac:dyDescent="0.25">
      <c r="A28" s="540" t="str">
        <f t="shared" si="7"/>
        <v>1</v>
      </c>
      <c r="C28" s="550"/>
      <c r="D28" s="550" t="s">
        <v>608</v>
      </c>
      <c r="L28" s="551" t="s">
        <v>609</v>
      </c>
      <c r="M28" s="570" t="s">
        <v>610</v>
      </c>
      <c r="N28" s="553" t="s">
        <v>123</v>
      </c>
      <c r="O28" s="568">
        <f>SUM(O29:O35)</f>
        <v>0</v>
      </c>
      <c r="P28" s="568">
        <f>SUM(P29:P35)</f>
        <v>572.5</v>
      </c>
      <c r="Q28" s="568">
        <f>SUM(Q29:Q35)</f>
        <v>0</v>
      </c>
      <c r="R28" s="562">
        <f t="shared" si="4"/>
        <v>-572.5</v>
      </c>
      <c r="S28" s="568">
        <f>SUM(S29:S35)</f>
        <v>335.84000000000003</v>
      </c>
      <c r="T28" s="556"/>
      <c r="U28" s="556"/>
      <c r="V28" s="556"/>
      <c r="W28" s="556"/>
      <c r="X28" s="556"/>
      <c r="Y28" s="556"/>
      <c r="Z28" s="556"/>
      <c r="AA28" s="556"/>
      <c r="AB28" s="556"/>
      <c r="AC28" s="556"/>
      <c r="AD28" s="556"/>
      <c r="AE28" s="556"/>
      <c r="AF28" s="556"/>
      <c r="AG28" s="556"/>
      <c r="AH28" s="556"/>
      <c r="AI28" s="556"/>
      <c r="AJ28" s="556"/>
      <c r="AK28" s="556"/>
      <c r="AL28" s="556"/>
      <c r="AM28" s="556"/>
      <c r="AN28" s="556"/>
      <c r="AO28" s="556"/>
      <c r="AP28" s="556"/>
      <c r="AQ28" s="556"/>
      <c r="AR28" s="556"/>
      <c r="AS28" s="556"/>
      <c r="AT28" s="556"/>
      <c r="AU28" s="556"/>
      <c r="AV28" s="556"/>
      <c r="AW28" s="556"/>
      <c r="AX28" s="548"/>
      <c r="AY28" s="548"/>
      <c r="AZ28" s="548"/>
    </row>
    <row r="29" spans="1:53" ht="11.25" hidden="1" outlineLevel="1" x14ac:dyDescent="0.25">
      <c r="A29" s="540" t="str">
        <f t="shared" si="7"/>
        <v>1</v>
      </c>
      <c r="C29" s="550"/>
      <c r="D29" s="550" t="s">
        <v>611</v>
      </c>
      <c r="L29" s="551" t="s">
        <v>612</v>
      </c>
      <c r="M29" s="567" t="s">
        <v>613</v>
      </c>
      <c r="N29" s="553" t="s">
        <v>123</v>
      </c>
      <c r="O29" s="566">
        <v>0</v>
      </c>
      <c r="P29" s="566"/>
      <c r="Q29" s="566"/>
      <c r="R29" s="562">
        <f t="shared" si="4"/>
        <v>0</v>
      </c>
      <c r="S29" s="566"/>
      <c r="T29" s="556"/>
      <c r="U29" s="556"/>
      <c r="V29" s="556"/>
      <c r="W29" s="556"/>
      <c r="X29" s="556"/>
      <c r="Y29" s="556"/>
      <c r="Z29" s="556"/>
      <c r="AA29" s="556"/>
      <c r="AB29" s="556"/>
      <c r="AC29" s="556"/>
      <c r="AD29" s="556"/>
      <c r="AE29" s="556"/>
      <c r="AF29" s="556"/>
      <c r="AG29" s="556"/>
      <c r="AH29" s="556"/>
      <c r="AI29" s="556"/>
      <c r="AJ29" s="556"/>
      <c r="AK29" s="556"/>
      <c r="AL29" s="556"/>
      <c r="AM29" s="556"/>
      <c r="AN29" s="556"/>
      <c r="AO29" s="556"/>
      <c r="AP29" s="556"/>
      <c r="AQ29" s="556"/>
      <c r="AR29" s="556"/>
      <c r="AS29" s="556"/>
      <c r="AT29" s="556"/>
      <c r="AU29" s="556"/>
      <c r="AV29" s="556"/>
      <c r="AW29" s="556"/>
      <c r="AX29" s="548"/>
      <c r="AY29" s="548"/>
      <c r="AZ29" s="548"/>
    </row>
    <row r="30" spans="1:53" ht="22.5" hidden="1" outlineLevel="1" x14ac:dyDescent="0.25">
      <c r="A30" s="540" t="str">
        <f t="shared" si="7"/>
        <v>1</v>
      </c>
      <c r="C30" s="550"/>
      <c r="D30" s="550" t="s">
        <v>614</v>
      </c>
      <c r="L30" s="551" t="s">
        <v>615</v>
      </c>
      <c r="M30" s="567" t="s">
        <v>616</v>
      </c>
      <c r="N30" s="553" t="s">
        <v>123</v>
      </c>
      <c r="O30" s="566">
        <v>0</v>
      </c>
      <c r="P30" s="566"/>
      <c r="Q30" s="566"/>
      <c r="R30" s="562">
        <f t="shared" si="4"/>
        <v>0</v>
      </c>
      <c r="S30" s="566"/>
      <c r="T30" s="556"/>
      <c r="U30" s="556"/>
      <c r="V30" s="556"/>
      <c r="W30" s="556"/>
      <c r="X30" s="556"/>
      <c r="Y30" s="556"/>
      <c r="Z30" s="556"/>
      <c r="AA30" s="556"/>
      <c r="AB30" s="556"/>
      <c r="AC30" s="556"/>
      <c r="AD30" s="556"/>
      <c r="AE30" s="556"/>
      <c r="AF30" s="556"/>
      <c r="AG30" s="556"/>
      <c r="AH30" s="556"/>
      <c r="AI30" s="556"/>
      <c r="AJ30" s="556"/>
      <c r="AK30" s="556"/>
      <c r="AL30" s="556"/>
      <c r="AM30" s="556"/>
      <c r="AN30" s="556"/>
      <c r="AO30" s="556"/>
      <c r="AP30" s="556"/>
      <c r="AQ30" s="556"/>
      <c r="AR30" s="556"/>
      <c r="AS30" s="556"/>
      <c r="AT30" s="556"/>
      <c r="AU30" s="556"/>
      <c r="AV30" s="556"/>
      <c r="AW30" s="556"/>
      <c r="AX30" s="548"/>
      <c r="AY30" s="548"/>
      <c r="AZ30" s="548"/>
    </row>
    <row r="31" spans="1:53" ht="22.5" hidden="1" outlineLevel="1" x14ac:dyDescent="0.25">
      <c r="A31" s="540" t="str">
        <f t="shared" si="7"/>
        <v>1</v>
      </c>
      <c r="C31" s="550"/>
      <c r="D31" s="550" t="s">
        <v>617</v>
      </c>
      <c r="L31" s="551" t="s">
        <v>618</v>
      </c>
      <c r="M31" s="571" t="s">
        <v>619</v>
      </c>
      <c r="N31" s="553" t="s">
        <v>123</v>
      </c>
      <c r="O31" s="566">
        <v>0</v>
      </c>
      <c r="P31" s="566"/>
      <c r="Q31" s="566"/>
      <c r="R31" s="562">
        <f t="shared" si="4"/>
        <v>0</v>
      </c>
      <c r="S31" s="566"/>
      <c r="T31" s="556"/>
      <c r="U31" s="556"/>
      <c r="V31" s="556"/>
      <c r="W31" s="556"/>
      <c r="X31" s="556"/>
      <c r="Y31" s="556"/>
      <c r="Z31" s="556"/>
      <c r="AA31" s="556"/>
      <c r="AB31" s="556"/>
      <c r="AC31" s="556"/>
      <c r="AD31" s="556"/>
      <c r="AE31" s="556"/>
      <c r="AF31" s="556"/>
      <c r="AG31" s="556"/>
      <c r="AH31" s="556"/>
      <c r="AI31" s="556"/>
      <c r="AJ31" s="556"/>
      <c r="AK31" s="556"/>
      <c r="AL31" s="556"/>
      <c r="AM31" s="556"/>
      <c r="AN31" s="556"/>
      <c r="AO31" s="556"/>
      <c r="AP31" s="556"/>
      <c r="AQ31" s="556"/>
      <c r="AR31" s="556"/>
      <c r="AS31" s="556"/>
      <c r="AT31" s="556"/>
      <c r="AU31" s="556"/>
      <c r="AV31" s="556"/>
      <c r="AW31" s="556"/>
      <c r="AX31" s="548"/>
      <c r="AY31" s="548"/>
      <c r="AZ31" s="548"/>
    </row>
    <row r="32" spans="1:53" ht="22.5" hidden="1" outlineLevel="1" x14ac:dyDescent="0.25">
      <c r="A32" s="540" t="str">
        <f t="shared" si="7"/>
        <v>1</v>
      </c>
      <c r="C32" s="550"/>
      <c r="D32" s="550" t="s">
        <v>620</v>
      </c>
      <c r="L32" s="551" t="s">
        <v>621</v>
      </c>
      <c r="M32" s="571" t="s">
        <v>622</v>
      </c>
      <c r="N32" s="553" t="s">
        <v>123</v>
      </c>
      <c r="O32" s="566">
        <v>0</v>
      </c>
      <c r="P32" s="566"/>
      <c r="Q32" s="566"/>
      <c r="R32" s="562">
        <f t="shared" si="4"/>
        <v>0</v>
      </c>
      <c r="S32" s="566"/>
      <c r="T32" s="556"/>
      <c r="U32" s="556"/>
      <c r="V32" s="556"/>
      <c r="W32" s="556"/>
      <c r="X32" s="556"/>
      <c r="Y32" s="556"/>
      <c r="Z32" s="556"/>
      <c r="AA32" s="556"/>
      <c r="AB32" s="556"/>
      <c r="AC32" s="556"/>
      <c r="AD32" s="556"/>
      <c r="AE32" s="556"/>
      <c r="AF32" s="556"/>
      <c r="AG32" s="556"/>
      <c r="AH32" s="556"/>
      <c r="AI32" s="556"/>
      <c r="AJ32" s="556"/>
      <c r="AK32" s="556"/>
      <c r="AL32" s="556"/>
      <c r="AM32" s="556"/>
      <c r="AN32" s="556"/>
      <c r="AO32" s="556"/>
      <c r="AP32" s="556"/>
      <c r="AQ32" s="556"/>
      <c r="AR32" s="556"/>
      <c r="AS32" s="556"/>
      <c r="AT32" s="556"/>
      <c r="AU32" s="556"/>
      <c r="AV32" s="556"/>
      <c r="AW32" s="556"/>
      <c r="AX32" s="548"/>
      <c r="AY32" s="548"/>
      <c r="AZ32" s="548"/>
    </row>
    <row r="33" spans="1:52" ht="45" hidden="1" outlineLevel="1" x14ac:dyDescent="0.25">
      <c r="A33" s="540" t="str">
        <f t="shared" si="7"/>
        <v>1</v>
      </c>
      <c r="C33" s="550"/>
      <c r="D33" s="550" t="s">
        <v>623</v>
      </c>
      <c r="L33" s="551" t="s">
        <v>624</v>
      </c>
      <c r="M33" s="567" t="s">
        <v>625</v>
      </c>
      <c r="N33" s="553" t="s">
        <v>123</v>
      </c>
      <c r="O33" s="566">
        <v>0</v>
      </c>
      <c r="P33" s="566">
        <f>320.08+235.1</f>
        <v>555.17999999999995</v>
      </c>
      <c r="Q33" s="566"/>
      <c r="R33" s="562">
        <f t="shared" si="4"/>
        <v>-555.17999999999995</v>
      </c>
      <c r="S33" s="566">
        <v>320.17</v>
      </c>
      <c r="T33" s="556"/>
      <c r="U33" s="556"/>
      <c r="V33" s="556"/>
      <c r="W33" s="556"/>
      <c r="X33" s="556"/>
      <c r="Y33" s="556"/>
      <c r="Z33" s="556"/>
      <c r="AA33" s="556"/>
      <c r="AB33" s="556"/>
      <c r="AC33" s="556"/>
      <c r="AD33" s="556"/>
      <c r="AE33" s="556"/>
      <c r="AF33" s="556"/>
      <c r="AG33" s="556"/>
      <c r="AH33" s="556"/>
      <c r="AI33" s="556"/>
      <c r="AJ33" s="556"/>
      <c r="AK33" s="556"/>
      <c r="AL33" s="556"/>
      <c r="AM33" s="556"/>
      <c r="AN33" s="556"/>
      <c r="AO33" s="556"/>
      <c r="AP33" s="556"/>
      <c r="AQ33" s="556"/>
      <c r="AR33" s="556"/>
      <c r="AS33" s="556"/>
      <c r="AT33" s="556"/>
      <c r="AU33" s="556"/>
      <c r="AV33" s="556"/>
      <c r="AW33" s="556"/>
      <c r="AX33" s="548"/>
      <c r="AY33" s="548"/>
      <c r="AZ33" s="548"/>
    </row>
    <row r="34" spans="1:52" ht="11.25" hidden="1" outlineLevel="1" x14ac:dyDescent="0.25">
      <c r="A34" s="540" t="str">
        <f t="shared" si="7"/>
        <v>1</v>
      </c>
      <c r="C34" s="550"/>
      <c r="D34" s="550" t="s">
        <v>626</v>
      </c>
      <c r="L34" s="551" t="s">
        <v>627</v>
      </c>
      <c r="M34" s="567" t="s">
        <v>628</v>
      </c>
      <c r="N34" s="553" t="s">
        <v>123</v>
      </c>
      <c r="O34" s="566">
        <v>0</v>
      </c>
      <c r="P34" s="566"/>
      <c r="Q34" s="566"/>
      <c r="R34" s="562">
        <f t="shared" si="4"/>
        <v>0</v>
      </c>
      <c r="S34" s="566">
        <v>15.67</v>
      </c>
      <c r="T34" s="556"/>
      <c r="U34" s="556"/>
      <c r="V34" s="556"/>
      <c r="W34" s="556"/>
      <c r="X34" s="556"/>
      <c r="Y34" s="556"/>
      <c r="Z34" s="556"/>
      <c r="AA34" s="556"/>
      <c r="AB34" s="556"/>
      <c r="AC34" s="556"/>
      <c r="AD34" s="556"/>
      <c r="AE34" s="556"/>
      <c r="AF34" s="556"/>
      <c r="AG34" s="556"/>
      <c r="AH34" s="556"/>
      <c r="AI34" s="556"/>
      <c r="AJ34" s="556"/>
      <c r="AK34" s="556"/>
      <c r="AL34" s="556"/>
      <c r="AM34" s="556"/>
      <c r="AN34" s="556"/>
      <c r="AO34" s="556"/>
      <c r="AP34" s="556"/>
      <c r="AQ34" s="556"/>
      <c r="AR34" s="556"/>
      <c r="AS34" s="556"/>
      <c r="AT34" s="556"/>
      <c r="AU34" s="556"/>
      <c r="AV34" s="556"/>
      <c r="AW34" s="556"/>
      <c r="AX34" s="548"/>
      <c r="AY34" s="548"/>
      <c r="AZ34" s="548"/>
    </row>
    <row r="35" spans="1:52" ht="11.25" hidden="1" outlineLevel="1" x14ac:dyDescent="0.25">
      <c r="A35" s="540" t="str">
        <f t="shared" si="7"/>
        <v>1</v>
      </c>
      <c r="C35" s="550"/>
      <c r="D35" s="550" t="s">
        <v>629</v>
      </c>
      <c r="L35" s="551" t="s">
        <v>630</v>
      </c>
      <c r="M35" s="567" t="s">
        <v>631</v>
      </c>
      <c r="N35" s="553" t="s">
        <v>123</v>
      </c>
      <c r="O35" s="566"/>
      <c r="P35" s="566">
        <v>17.32</v>
      </c>
      <c r="Q35" s="566"/>
      <c r="R35" s="562">
        <f>Q35-P35</f>
        <v>-17.32</v>
      </c>
      <c r="S35" s="566"/>
      <c r="T35" s="556"/>
      <c r="U35" s="556"/>
      <c r="V35" s="556"/>
      <c r="W35" s="556"/>
      <c r="X35" s="556"/>
      <c r="Y35" s="556"/>
      <c r="Z35" s="556"/>
      <c r="AA35" s="556"/>
      <c r="AB35" s="556"/>
      <c r="AC35" s="556"/>
      <c r="AD35" s="556"/>
      <c r="AE35" s="556"/>
      <c r="AF35" s="556"/>
      <c r="AG35" s="556"/>
      <c r="AH35" s="556"/>
      <c r="AI35" s="556"/>
      <c r="AJ35" s="556"/>
      <c r="AK35" s="556"/>
      <c r="AL35" s="556"/>
      <c r="AM35" s="556"/>
      <c r="AN35" s="556"/>
      <c r="AO35" s="556"/>
      <c r="AP35" s="556"/>
      <c r="AQ35" s="556"/>
      <c r="AR35" s="556"/>
      <c r="AS35" s="556"/>
      <c r="AT35" s="556"/>
      <c r="AU35" s="556"/>
      <c r="AV35" s="556"/>
      <c r="AW35" s="556"/>
      <c r="AX35" s="548"/>
      <c r="AY35" s="548"/>
      <c r="AZ35" s="548"/>
    </row>
    <row r="36" spans="1:52" s="572" customFormat="1" ht="11.25" hidden="1" outlineLevel="1" x14ac:dyDescent="0.25">
      <c r="A36" s="540" t="str">
        <f t="shared" si="7"/>
        <v>1</v>
      </c>
      <c r="C36" s="550"/>
      <c r="D36" s="550" t="s">
        <v>632</v>
      </c>
      <c r="L36" s="573" t="s">
        <v>37</v>
      </c>
      <c r="M36" s="574" t="s">
        <v>633</v>
      </c>
      <c r="N36" s="575" t="s">
        <v>123</v>
      </c>
      <c r="O36" s="576">
        <f>O37+O38+O39</f>
        <v>0</v>
      </c>
      <c r="P36" s="576">
        <f>P37+P38+P39</f>
        <v>611.11</v>
      </c>
      <c r="Q36" s="576">
        <f>Q37+Q38+Q39</f>
        <v>0</v>
      </c>
      <c r="R36" s="546">
        <f t="shared" si="4"/>
        <v>-611.11</v>
      </c>
      <c r="S36" s="576">
        <f>S37+S38+S39</f>
        <v>1984.2</v>
      </c>
      <c r="T36" s="558"/>
      <c r="U36" s="558"/>
      <c r="V36" s="558"/>
      <c r="W36" s="558"/>
      <c r="X36" s="558"/>
      <c r="Y36" s="558"/>
      <c r="Z36" s="558"/>
      <c r="AA36" s="558"/>
      <c r="AB36" s="558"/>
      <c r="AC36" s="558"/>
      <c r="AD36" s="558"/>
      <c r="AE36" s="558"/>
      <c r="AF36" s="558"/>
      <c r="AG36" s="558"/>
      <c r="AH36" s="558"/>
      <c r="AI36" s="558"/>
      <c r="AJ36" s="558"/>
      <c r="AK36" s="558"/>
      <c r="AL36" s="558"/>
      <c r="AM36" s="558"/>
      <c r="AN36" s="558"/>
      <c r="AO36" s="558"/>
      <c r="AP36" s="558"/>
      <c r="AQ36" s="558"/>
      <c r="AR36" s="558"/>
      <c r="AS36" s="558"/>
      <c r="AT36" s="558"/>
      <c r="AU36" s="558"/>
      <c r="AV36" s="558"/>
      <c r="AW36" s="558"/>
      <c r="AX36" s="559"/>
      <c r="AY36" s="559"/>
      <c r="AZ36" s="559"/>
    </row>
    <row r="37" spans="1:52" ht="22.5" hidden="1" outlineLevel="1" x14ac:dyDescent="0.25">
      <c r="A37" s="540" t="str">
        <f t="shared" si="7"/>
        <v>1</v>
      </c>
      <c r="C37" s="550"/>
      <c r="D37" s="550" t="s">
        <v>634</v>
      </c>
      <c r="L37" s="551" t="s">
        <v>39</v>
      </c>
      <c r="M37" s="560" t="s">
        <v>635</v>
      </c>
      <c r="N37" s="553" t="s">
        <v>123</v>
      </c>
      <c r="O37" s="566">
        <v>0</v>
      </c>
      <c r="P37" s="566">
        <v>611.11</v>
      </c>
      <c r="Q37" s="566"/>
      <c r="R37" s="562">
        <f t="shared" si="4"/>
        <v>-611.11</v>
      </c>
      <c r="S37" s="566">
        <v>923.3</v>
      </c>
      <c r="T37" s="556"/>
      <c r="U37" s="556"/>
      <c r="V37" s="556"/>
      <c r="W37" s="556"/>
      <c r="X37" s="556"/>
      <c r="Y37" s="556"/>
      <c r="Z37" s="556"/>
      <c r="AA37" s="556"/>
      <c r="AB37" s="556"/>
      <c r="AC37" s="556"/>
      <c r="AD37" s="556"/>
      <c r="AE37" s="556"/>
      <c r="AF37" s="556"/>
      <c r="AG37" s="556"/>
      <c r="AH37" s="556"/>
      <c r="AI37" s="556"/>
      <c r="AJ37" s="556"/>
      <c r="AK37" s="556"/>
      <c r="AL37" s="556"/>
      <c r="AM37" s="556"/>
      <c r="AN37" s="556"/>
      <c r="AO37" s="556"/>
      <c r="AP37" s="556"/>
      <c r="AQ37" s="556"/>
      <c r="AR37" s="556"/>
      <c r="AS37" s="556"/>
      <c r="AT37" s="556"/>
      <c r="AU37" s="556"/>
      <c r="AV37" s="556"/>
      <c r="AW37" s="556"/>
      <c r="AX37" s="548"/>
      <c r="AY37" s="548"/>
      <c r="AZ37" s="548"/>
    </row>
    <row r="38" spans="1:52" ht="45" hidden="1" outlineLevel="1" x14ac:dyDescent="0.25">
      <c r="A38" s="540" t="str">
        <f t="shared" si="7"/>
        <v>1</v>
      </c>
      <c r="C38" s="550"/>
      <c r="D38" s="550" t="s">
        <v>636</v>
      </c>
      <c r="L38" s="551" t="s">
        <v>47</v>
      </c>
      <c r="M38" s="570" t="s">
        <v>637</v>
      </c>
      <c r="N38" s="553" t="s">
        <v>123</v>
      </c>
      <c r="O38" s="566">
        <v>0</v>
      </c>
      <c r="P38" s="566"/>
      <c r="Q38" s="566"/>
      <c r="R38" s="562">
        <f t="shared" si="4"/>
        <v>0</v>
      </c>
      <c r="S38" s="566">
        <v>0</v>
      </c>
      <c r="T38" s="556"/>
      <c r="U38" s="556"/>
      <c r="V38" s="556"/>
      <c r="W38" s="556"/>
      <c r="X38" s="556"/>
      <c r="Y38" s="556"/>
      <c r="Z38" s="556"/>
      <c r="AA38" s="556"/>
      <c r="AB38" s="556"/>
      <c r="AC38" s="556"/>
      <c r="AD38" s="556"/>
      <c r="AE38" s="556"/>
      <c r="AF38" s="556"/>
      <c r="AG38" s="556"/>
      <c r="AH38" s="556"/>
      <c r="AI38" s="556"/>
      <c r="AJ38" s="556"/>
      <c r="AK38" s="556"/>
      <c r="AL38" s="556"/>
      <c r="AM38" s="556"/>
      <c r="AN38" s="556"/>
      <c r="AO38" s="556"/>
      <c r="AP38" s="556"/>
      <c r="AQ38" s="556"/>
      <c r="AR38" s="556"/>
      <c r="AS38" s="556"/>
      <c r="AT38" s="556"/>
      <c r="AU38" s="556"/>
      <c r="AV38" s="556"/>
      <c r="AW38" s="556"/>
      <c r="AX38" s="548"/>
      <c r="AY38" s="548"/>
      <c r="AZ38" s="548"/>
    </row>
    <row r="39" spans="1:52" ht="30" hidden="1" outlineLevel="1" x14ac:dyDescent="0.25">
      <c r="A39" s="540" t="str">
        <f t="shared" si="7"/>
        <v>1</v>
      </c>
      <c r="C39" s="550"/>
      <c r="D39" s="550" t="s">
        <v>638</v>
      </c>
      <c r="L39" s="551" t="s">
        <v>639</v>
      </c>
      <c r="M39" s="570" t="s">
        <v>640</v>
      </c>
      <c r="N39" s="553" t="s">
        <v>123</v>
      </c>
      <c r="O39" s="566">
        <v>0</v>
      </c>
      <c r="P39" s="566"/>
      <c r="Q39" s="566"/>
      <c r="R39" s="562">
        <f t="shared" si="4"/>
        <v>0</v>
      </c>
      <c r="S39" s="566">
        <v>1060.9000000000001</v>
      </c>
      <c r="T39" s="556"/>
      <c r="U39" s="556"/>
      <c r="V39" s="556"/>
      <c r="W39" s="556"/>
      <c r="X39" s="556"/>
      <c r="Y39" s="556"/>
      <c r="Z39" s="556"/>
      <c r="AA39" s="556"/>
      <c r="AB39" s="556"/>
      <c r="AC39" s="556"/>
      <c r="AD39" s="556"/>
      <c r="AE39" s="556"/>
      <c r="AF39" s="556"/>
      <c r="AG39" s="556"/>
      <c r="AH39" s="556"/>
      <c r="AI39" s="556"/>
      <c r="AJ39" s="556"/>
      <c r="AK39" s="556"/>
      <c r="AL39" s="556"/>
      <c r="AM39" s="556"/>
      <c r="AN39" s="556"/>
      <c r="AO39" s="556"/>
      <c r="AP39" s="556"/>
      <c r="AQ39" s="556"/>
      <c r="AR39" s="556"/>
      <c r="AS39" s="556"/>
      <c r="AT39" s="556"/>
      <c r="AU39" s="556"/>
      <c r="AV39" s="556"/>
      <c r="AW39" s="556"/>
      <c r="AX39" s="548"/>
      <c r="AY39" s="548"/>
      <c r="AZ39" s="548"/>
    </row>
    <row r="40" spans="1:52" ht="15" hidden="1" outlineLevel="1" x14ac:dyDescent="0.25">
      <c r="A40" s="540" t="str">
        <f t="shared" si="7"/>
        <v>1</v>
      </c>
      <c r="B40" s="577" t="s">
        <v>641</v>
      </c>
      <c r="C40" s="550"/>
      <c r="D40" s="550" t="s">
        <v>642</v>
      </c>
      <c r="L40" s="551" t="s">
        <v>643</v>
      </c>
      <c r="M40" s="564" t="s">
        <v>644</v>
      </c>
      <c r="N40" s="553" t="s">
        <v>123</v>
      </c>
      <c r="O40" s="566">
        <v>0</v>
      </c>
      <c r="P40" s="566"/>
      <c r="Q40" s="566"/>
      <c r="R40" s="562">
        <f t="shared" si="4"/>
        <v>0</v>
      </c>
      <c r="S40" s="566">
        <v>0</v>
      </c>
      <c r="T40" s="556"/>
      <c r="U40" s="556"/>
      <c r="V40" s="556"/>
      <c r="W40" s="556"/>
      <c r="X40" s="556"/>
      <c r="Y40" s="556"/>
      <c r="Z40" s="556"/>
      <c r="AA40" s="556"/>
      <c r="AB40" s="556"/>
      <c r="AC40" s="556"/>
      <c r="AD40" s="556"/>
      <c r="AE40" s="556"/>
      <c r="AF40" s="556"/>
      <c r="AG40" s="556"/>
      <c r="AH40" s="556"/>
      <c r="AI40" s="556"/>
      <c r="AJ40" s="556"/>
      <c r="AK40" s="556"/>
      <c r="AL40" s="556"/>
      <c r="AM40" s="556"/>
      <c r="AN40" s="556"/>
      <c r="AO40" s="556"/>
      <c r="AP40" s="556"/>
      <c r="AQ40" s="556"/>
      <c r="AR40" s="556"/>
      <c r="AS40" s="556"/>
      <c r="AT40" s="556"/>
      <c r="AU40" s="556"/>
      <c r="AV40" s="556"/>
      <c r="AW40" s="556"/>
      <c r="AX40" s="548"/>
      <c r="AY40" s="548"/>
      <c r="AZ40" s="548"/>
    </row>
    <row r="41" spans="1:52" ht="30" hidden="1" outlineLevel="1" x14ac:dyDescent="0.25">
      <c r="A41" s="540" t="str">
        <f t="shared" si="7"/>
        <v>1</v>
      </c>
      <c r="B41" s="577" t="s">
        <v>645</v>
      </c>
      <c r="C41" s="550"/>
      <c r="D41" s="550" t="s">
        <v>646</v>
      </c>
      <c r="L41" s="551" t="s">
        <v>647</v>
      </c>
      <c r="M41" s="564" t="s">
        <v>648</v>
      </c>
      <c r="N41" s="553" t="s">
        <v>123</v>
      </c>
      <c r="O41" s="566">
        <v>0</v>
      </c>
      <c r="P41" s="566" t="e">
        <f>P40* SUMIFS(INDEX([14]Сценарии!$O$15:$AP$53,,MATCH(P$3,[14]Сценарии!$O$3:$AP$3,0)),[14]Сценарии!$A$15:$A$53,$A41,[14]Сценарии!$B$15:$B$53,"СВФОТ")/100</f>
        <v>#REF!</v>
      </c>
      <c r="Q41" s="566" t="e">
        <f>Q40* SUMIFS(INDEX([14]Сценарии!$O$15:$AP$53,,MATCH(Q$3,[14]Сценарии!$O$3:$AP$3,0)),[14]Сценарии!$A$15:$A$53,$A41,[14]Сценарии!$B$15:$B$53,"СВФОТ")/100</f>
        <v>#REF!</v>
      </c>
      <c r="R41" s="562" t="e">
        <f t="shared" si="4"/>
        <v>#REF!</v>
      </c>
      <c r="S41" s="566">
        <v>1060.9000000000001</v>
      </c>
      <c r="T41" s="556"/>
      <c r="U41" s="556"/>
      <c r="V41" s="556"/>
      <c r="W41" s="556"/>
      <c r="X41" s="556"/>
      <c r="Y41" s="556"/>
      <c r="Z41" s="556"/>
      <c r="AA41" s="556"/>
      <c r="AB41" s="556"/>
      <c r="AC41" s="556"/>
      <c r="AD41" s="556"/>
      <c r="AE41" s="556"/>
      <c r="AF41" s="556"/>
      <c r="AG41" s="556"/>
      <c r="AH41" s="556"/>
      <c r="AI41" s="556"/>
      <c r="AJ41" s="556"/>
      <c r="AK41" s="556"/>
      <c r="AL41" s="556"/>
      <c r="AM41" s="556"/>
      <c r="AN41" s="556"/>
      <c r="AO41" s="556"/>
      <c r="AP41" s="556"/>
      <c r="AQ41" s="556"/>
      <c r="AR41" s="556"/>
      <c r="AS41" s="556"/>
      <c r="AT41" s="556"/>
      <c r="AU41" s="556"/>
      <c r="AV41" s="556"/>
      <c r="AW41" s="556"/>
      <c r="AX41" s="548"/>
      <c r="AY41" s="548"/>
      <c r="AZ41" s="548"/>
    </row>
    <row r="42" spans="1:52" s="572" customFormat="1" ht="11.25" hidden="1" outlineLevel="1" x14ac:dyDescent="0.25">
      <c r="A42" s="540" t="str">
        <f t="shared" si="7"/>
        <v>1</v>
      </c>
      <c r="C42" s="550"/>
      <c r="D42" s="550" t="s">
        <v>649</v>
      </c>
      <c r="L42" s="573" t="s">
        <v>52</v>
      </c>
      <c r="M42" s="574" t="s">
        <v>83</v>
      </c>
      <c r="N42" s="575" t="s">
        <v>123</v>
      </c>
      <c r="O42" s="576">
        <f>O43+O51+O54+O55+O56+O57+O58</f>
        <v>0</v>
      </c>
      <c r="P42" s="576" t="e">
        <f>P43+P51+P54+P55+P56+P57+P58</f>
        <v>#REF!</v>
      </c>
      <c r="Q42" s="576" t="e">
        <f>Q43+Q51+Q54+Q55+Q56+Q57+Q58</f>
        <v>#REF!</v>
      </c>
      <c r="R42" s="546" t="e">
        <f t="shared" si="4"/>
        <v>#REF!</v>
      </c>
      <c r="S42" s="576">
        <f>S43+S51+S54+S55+S56+S57+S58</f>
        <v>1814.78</v>
      </c>
      <c r="T42" s="558"/>
      <c r="U42" s="558"/>
      <c r="V42" s="558"/>
      <c r="W42" s="558"/>
      <c r="X42" s="558"/>
      <c r="Y42" s="558"/>
      <c r="Z42" s="558"/>
      <c r="AA42" s="558"/>
      <c r="AB42" s="558"/>
      <c r="AC42" s="558"/>
      <c r="AD42" s="558"/>
      <c r="AE42" s="558"/>
      <c r="AF42" s="558"/>
      <c r="AG42" s="558"/>
      <c r="AH42" s="558"/>
      <c r="AI42" s="558"/>
      <c r="AJ42" s="558"/>
      <c r="AK42" s="558"/>
      <c r="AL42" s="558"/>
      <c r="AM42" s="558"/>
      <c r="AN42" s="558"/>
      <c r="AO42" s="558"/>
      <c r="AP42" s="558"/>
      <c r="AQ42" s="558"/>
      <c r="AR42" s="558"/>
      <c r="AS42" s="558"/>
      <c r="AT42" s="558"/>
      <c r="AU42" s="558"/>
      <c r="AV42" s="558"/>
      <c r="AW42" s="558"/>
      <c r="AX42" s="559"/>
      <c r="AY42" s="559"/>
      <c r="AZ42" s="559"/>
    </row>
    <row r="43" spans="1:52" ht="22.5" hidden="1" outlineLevel="1" x14ac:dyDescent="0.25">
      <c r="A43" s="540" t="str">
        <f t="shared" si="7"/>
        <v>1</v>
      </c>
      <c r="B43" s="520" t="s">
        <v>650</v>
      </c>
      <c r="C43" s="550"/>
      <c r="D43" s="550" t="s">
        <v>651</v>
      </c>
      <c r="L43" s="551" t="s">
        <v>652</v>
      </c>
      <c r="M43" s="560" t="s">
        <v>653</v>
      </c>
      <c r="N43" s="553" t="s">
        <v>123</v>
      </c>
      <c r="O43" s="568">
        <f>SUM(O44:O50)</f>
        <v>0</v>
      </c>
      <c r="P43" s="568">
        <f>SUM(P44:P50)</f>
        <v>287.51</v>
      </c>
      <c r="Q43" s="568">
        <f>SUM(Q44:Q50)</f>
        <v>0</v>
      </c>
      <c r="R43" s="562">
        <f t="shared" si="4"/>
        <v>-287.51</v>
      </c>
      <c r="S43" s="568">
        <f>SUM(S44:S50)</f>
        <v>0</v>
      </c>
      <c r="T43" s="556"/>
      <c r="U43" s="556"/>
      <c r="V43" s="556"/>
      <c r="W43" s="556"/>
      <c r="X43" s="556"/>
      <c r="Y43" s="556"/>
      <c r="Z43" s="556"/>
      <c r="AA43" s="556"/>
      <c r="AB43" s="556"/>
      <c r="AC43" s="556"/>
      <c r="AD43" s="556"/>
      <c r="AE43" s="556"/>
      <c r="AF43" s="556"/>
      <c r="AG43" s="556"/>
      <c r="AH43" s="556"/>
      <c r="AI43" s="556"/>
      <c r="AJ43" s="556"/>
      <c r="AK43" s="556"/>
      <c r="AL43" s="556"/>
      <c r="AM43" s="556"/>
      <c r="AN43" s="556"/>
      <c r="AO43" s="556"/>
      <c r="AP43" s="556"/>
      <c r="AQ43" s="556"/>
      <c r="AR43" s="556"/>
      <c r="AS43" s="556"/>
      <c r="AT43" s="556"/>
      <c r="AU43" s="556"/>
      <c r="AV43" s="556"/>
      <c r="AW43" s="556"/>
      <c r="AX43" s="548"/>
      <c r="AY43" s="548"/>
      <c r="AZ43" s="548"/>
    </row>
    <row r="44" spans="1:52" ht="15" hidden="1" outlineLevel="1" x14ac:dyDescent="0.25">
      <c r="A44" s="540" t="str">
        <f t="shared" si="7"/>
        <v>1</v>
      </c>
      <c r="B44" s="520" t="s">
        <v>654</v>
      </c>
      <c r="C44" s="550"/>
      <c r="D44" s="550" t="s">
        <v>655</v>
      </c>
      <c r="L44" s="551" t="s">
        <v>656</v>
      </c>
      <c r="M44" s="564" t="s">
        <v>657</v>
      </c>
      <c r="N44" s="553" t="s">
        <v>123</v>
      </c>
      <c r="O44" s="566">
        <v>0</v>
      </c>
      <c r="P44" s="566"/>
      <c r="Q44" s="566"/>
      <c r="R44" s="562">
        <f t="shared" si="4"/>
        <v>0</v>
      </c>
      <c r="S44" s="566">
        <v>0</v>
      </c>
      <c r="T44" s="556"/>
      <c r="U44" s="556"/>
      <c r="V44" s="556"/>
      <c r="W44" s="556"/>
      <c r="X44" s="556"/>
      <c r="Y44" s="556"/>
      <c r="Z44" s="556"/>
      <c r="AA44" s="556"/>
      <c r="AB44" s="556"/>
      <c r="AC44" s="556"/>
      <c r="AD44" s="556"/>
      <c r="AE44" s="556"/>
      <c r="AF44" s="556"/>
      <c r="AG44" s="556"/>
      <c r="AH44" s="556"/>
      <c r="AI44" s="556"/>
      <c r="AJ44" s="556"/>
      <c r="AK44" s="556"/>
      <c r="AL44" s="556"/>
      <c r="AM44" s="556"/>
      <c r="AN44" s="556"/>
      <c r="AO44" s="556"/>
      <c r="AP44" s="556"/>
      <c r="AQ44" s="556"/>
      <c r="AR44" s="556"/>
      <c r="AS44" s="556"/>
      <c r="AT44" s="556"/>
      <c r="AU44" s="556"/>
      <c r="AV44" s="556"/>
      <c r="AW44" s="556"/>
      <c r="AX44" s="548"/>
      <c r="AY44" s="548"/>
      <c r="AZ44" s="548"/>
    </row>
    <row r="45" spans="1:52" ht="15" hidden="1" outlineLevel="1" x14ac:dyDescent="0.25">
      <c r="A45" s="540" t="str">
        <f t="shared" si="7"/>
        <v>1</v>
      </c>
      <c r="B45" s="520" t="s">
        <v>658</v>
      </c>
      <c r="C45" s="550"/>
      <c r="D45" s="550" t="s">
        <v>659</v>
      </c>
      <c r="L45" s="551" t="s">
        <v>660</v>
      </c>
      <c r="M45" s="564" t="s">
        <v>661</v>
      </c>
      <c r="N45" s="553" t="s">
        <v>123</v>
      </c>
      <c r="O45" s="566">
        <v>0</v>
      </c>
      <c r="P45" s="566"/>
      <c r="Q45" s="566"/>
      <c r="R45" s="562">
        <f t="shared" si="4"/>
        <v>0</v>
      </c>
      <c r="S45" s="566">
        <v>0</v>
      </c>
      <c r="T45" s="556"/>
      <c r="U45" s="556"/>
      <c r="V45" s="556"/>
      <c r="W45" s="556"/>
      <c r="X45" s="556"/>
      <c r="Y45" s="556"/>
      <c r="Z45" s="556"/>
      <c r="AA45" s="556"/>
      <c r="AB45" s="556"/>
      <c r="AC45" s="556"/>
      <c r="AD45" s="556"/>
      <c r="AE45" s="556"/>
      <c r="AF45" s="556"/>
      <c r="AG45" s="556"/>
      <c r="AH45" s="556"/>
      <c r="AI45" s="556"/>
      <c r="AJ45" s="556"/>
      <c r="AK45" s="556"/>
      <c r="AL45" s="556"/>
      <c r="AM45" s="556"/>
      <c r="AN45" s="556"/>
      <c r="AO45" s="556"/>
      <c r="AP45" s="556"/>
      <c r="AQ45" s="556"/>
      <c r="AR45" s="556"/>
      <c r="AS45" s="556"/>
      <c r="AT45" s="556"/>
      <c r="AU45" s="556"/>
      <c r="AV45" s="556"/>
      <c r="AW45" s="556"/>
      <c r="AX45" s="548"/>
      <c r="AY45" s="548"/>
      <c r="AZ45" s="548"/>
    </row>
    <row r="46" spans="1:52" ht="15" hidden="1" outlineLevel="1" x14ac:dyDescent="0.25">
      <c r="A46" s="540" t="str">
        <f t="shared" si="7"/>
        <v>1</v>
      </c>
      <c r="B46" s="520" t="s">
        <v>662</v>
      </c>
      <c r="C46" s="550"/>
      <c r="D46" s="550" t="s">
        <v>663</v>
      </c>
      <c r="L46" s="551" t="s">
        <v>664</v>
      </c>
      <c r="M46" s="564" t="s">
        <v>665</v>
      </c>
      <c r="N46" s="553" t="s">
        <v>123</v>
      </c>
      <c r="O46" s="566">
        <v>0</v>
      </c>
      <c r="P46" s="566"/>
      <c r="Q46" s="566"/>
      <c r="R46" s="562">
        <f t="shared" si="4"/>
        <v>0</v>
      </c>
      <c r="S46" s="566">
        <v>0</v>
      </c>
      <c r="T46" s="556"/>
      <c r="U46" s="556"/>
      <c r="V46" s="556"/>
      <c r="W46" s="556"/>
      <c r="X46" s="556"/>
      <c r="Y46" s="556"/>
      <c r="Z46" s="556"/>
      <c r="AA46" s="556"/>
      <c r="AB46" s="556"/>
      <c r="AC46" s="556"/>
      <c r="AD46" s="556"/>
      <c r="AE46" s="556"/>
      <c r="AF46" s="556"/>
      <c r="AG46" s="556"/>
      <c r="AH46" s="556"/>
      <c r="AI46" s="556"/>
      <c r="AJ46" s="556"/>
      <c r="AK46" s="556"/>
      <c r="AL46" s="556"/>
      <c r="AM46" s="556"/>
      <c r="AN46" s="556"/>
      <c r="AO46" s="556"/>
      <c r="AP46" s="556"/>
      <c r="AQ46" s="556"/>
      <c r="AR46" s="556"/>
      <c r="AS46" s="556"/>
      <c r="AT46" s="556"/>
      <c r="AU46" s="556"/>
      <c r="AV46" s="556"/>
      <c r="AW46" s="556"/>
      <c r="AX46" s="548"/>
      <c r="AY46" s="548"/>
      <c r="AZ46" s="548"/>
    </row>
    <row r="47" spans="1:52" ht="15" hidden="1" outlineLevel="1" x14ac:dyDescent="0.25">
      <c r="A47" s="540" t="str">
        <f t="shared" si="7"/>
        <v>1</v>
      </c>
      <c r="B47" s="520" t="s">
        <v>666</v>
      </c>
      <c r="C47" s="550"/>
      <c r="D47" s="550" t="s">
        <v>667</v>
      </c>
      <c r="L47" s="551" t="s">
        <v>668</v>
      </c>
      <c r="M47" s="564" t="s">
        <v>669</v>
      </c>
      <c r="N47" s="553" t="s">
        <v>123</v>
      </c>
      <c r="O47" s="566">
        <v>0</v>
      </c>
      <c r="P47" s="566"/>
      <c r="Q47" s="566"/>
      <c r="R47" s="562">
        <f t="shared" si="4"/>
        <v>0</v>
      </c>
      <c r="S47" s="566">
        <v>0</v>
      </c>
      <c r="T47" s="556"/>
      <c r="U47" s="556"/>
      <c r="V47" s="556"/>
      <c r="W47" s="556"/>
      <c r="X47" s="556"/>
      <c r="Y47" s="556"/>
      <c r="Z47" s="556"/>
      <c r="AA47" s="556"/>
      <c r="AB47" s="556"/>
      <c r="AC47" s="556"/>
      <c r="AD47" s="556"/>
      <c r="AE47" s="556"/>
      <c r="AF47" s="556"/>
      <c r="AG47" s="556"/>
      <c r="AH47" s="556"/>
      <c r="AI47" s="556"/>
      <c r="AJ47" s="556"/>
      <c r="AK47" s="556"/>
      <c r="AL47" s="556"/>
      <c r="AM47" s="556"/>
      <c r="AN47" s="556"/>
      <c r="AO47" s="556"/>
      <c r="AP47" s="556"/>
      <c r="AQ47" s="556"/>
      <c r="AR47" s="556"/>
      <c r="AS47" s="556"/>
      <c r="AT47" s="556"/>
      <c r="AU47" s="556"/>
      <c r="AV47" s="556"/>
      <c r="AW47" s="556"/>
      <c r="AX47" s="548"/>
      <c r="AY47" s="548"/>
      <c r="AZ47" s="548"/>
    </row>
    <row r="48" spans="1:52" ht="15" hidden="1" outlineLevel="1" x14ac:dyDescent="0.25">
      <c r="A48" s="540" t="str">
        <f t="shared" si="7"/>
        <v>1</v>
      </c>
      <c r="B48" s="520" t="s">
        <v>670</v>
      </c>
      <c r="C48" s="550"/>
      <c r="D48" s="550" t="s">
        <v>671</v>
      </c>
      <c r="L48" s="551" t="s">
        <v>672</v>
      </c>
      <c r="M48" s="564" t="s">
        <v>673</v>
      </c>
      <c r="N48" s="553" t="s">
        <v>123</v>
      </c>
      <c r="O48" s="566">
        <v>0</v>
      </c>
      <c r="P48" s="566"/>
      <c r="Q48" s="566"/>
      <c r="R48" s="562">
        <f t="shared" si="4"/>
        <v>0</v>
      </c>
      <c r="S48" s="566">
        <v>0</v>
      </c>
      <c r="T48" s="556"/>
      <c r="U48" s="556"/>
      <c r="V48" s="556"/>
      <c r="W48" s="556"/>
      <c r="X48" s="556"/>
      <c r="Y48" s="556"/>
      <c r="Z48" s="556"/>
      <c r="AA48" s="556"/>
      <c r="AB48" s="556"/>
      <c r="AC48" s="556"/>
      <c r="AD48" s="556"/>
      <c r="AE48" s="556"/>
      <c r="AF48" s="556"/>
      <c r="AG48" s="556"/>
      <c r="AH48" s="556"/>
      <c r="AI48" s="556"/>
      <c r="AJ48" s="556"/>
      <c r="AK48" s="556"/>
      <c r="AL48" s="556"/>
      <c r="AM48" s="556"/>
      <c r="AN48" s="556"/>
      <c r="AO48" s="556"/>
      <c r="AP48" s="556"/>
      <c r="AQ48" s="556"/>
      <c r="AR48" s="556"/>
      <c r="AS48" s="556"/>
      <c r="AT48" s="556"/>
      <c r="AU48" s="556"/>
      <c r="AV48" s="556"/>
      <c r="AW48" s="556"/>
      <c r="AX48" s="548"/>
      <c r="AY48" s="548"/>
      <c r="AZ48" s="548"/>
    </row>
    <row r="49" spans="1:52" ht="15" hidden="1" outlineLevel="1" x14ac:dyDescent="0.25">
      <c r="A49" s="540" t="str">
        <f t="shared" si="7"/>
        <v>1</v>
      </c>
      <c r="B49" s="520" t="s">
        <v>674</v>
      </c>
      <c r="C49" s="550"/>
      <c r="D49" s="550" t="s">
        <v>675</v>
      </c>
      <c r="L49" s="551" t="s">
        <v>676</v>
      </c>
      <c r="M49" s="564" t="s">
        <v>677</v>
      </c>
      <c r="N49" s="553" t="s">
        <v>123</v>
      </c>
      <c r="O49" s="566">
        <v>0</v>
      </c>
      <c r="P49" s="566">
        <v>58.02</v>
      </c>
      <c r="Q49" s="566"/>
      <c r="R49" s="562">
        <f t="shared" si="4"/>
        <v>-58.02</v>
      </c>
      <c r="S49" s="566">
        <v>0</v>
      </c>
      <c r="T49" s="556"/>
      <c r="U49" s="556"/>
      <c r="V49" s="556"/>
      <c r="W49" s="556"/>
      <c r="X49" s="556"/>
      <c r="Y49" s="556"/>
      <c r="Z49" s="556"/>
      <c r="AA49" s="556"/>
      <c r="AB49" s="556"/>
      <c r="AC49" s="556"/>
      <c r="AD49" s="556"/>
      <c r="AE49" s="556"/>
      <c r="AF49" s="556"/>
      <c r="AG49" s="556"/>
      <c r="AH49" s="556"/>
      <c r="AI49" s="556"/>
      <c r="AJ49" s="556"/>
      <c r="AK49" s="556"/>
      <c r="AL49" s="556"/>
      <c r="AM49" s="556"/>
      <c r="AN49" s="556"/>
      <c r="AO49" s="556"/>
      <c r="AP49" s="556"/>
      <c r="AQ49" s="556"/>
      <c r="AR49" s="556"/>
      <c r="AS49" s="556"/>
      <c r="AT49" s="556"/>
      <c r="AU49" s="556"/>
      <c r="AV49" s="556"/>
      <c r="AW49" s="556"/>
      <c r="AX49" s="548"/>
      <c r="AY49" s="548"/>
      <c r="AZ49" s="548"/>
    </row>
    <row r="50" spans="1:52" ht="15" hidden="1" outlineLevel="1" x14ac:dyDescent="0.25">
      <c r="A50" s="540" t="str">
        <f t="shared" si="7"/>
        <v>1</v>
      </c>
      <c r="B50" s="520" t="s">
        <v>678</v>
      </c>
      <c r="C50" s="550"/>
      <c r="D50" s="550" t="s">
        <v>679</v>
      </c>
      <c r="L50" s="551" t="s">
        <v>680</v>
      </c>
      <c r="M50" s="564" t="s">
        <v>681</v>
      </c>
      <c r="N50" s="553" t="s">
        <v>123</v>
      </c>
      <c r="O50" s="566">
        <v>0</v>
      </c>
      <c r="P50" s="566">
        <v>229.49</v>
      </c>
      <c r="Q50" s="566"/>
      <c r="R50" s="562">
        <f>Q50-P50</f>
        <v>-229.49</v>
      </c>
      <c r="S50" s="566">
        <v>0</v>
      </c>
      <c r="T50" s="556"/>
      <c r="U50" s="556"/>
      <c r="V50" s="556"/>
      <c r="W50" s="556"/>
      <c r="X50" s="556"/>
      <c r="Y50" s="556"/>
      <c r="Z50" s="556"/>
      <c r="AA50" s="556"/>
      <c r="AB50" s="556"/>
      <c r="AC50" s="556"/>
      <c r="AD50" s="556"/>
      <c r="AE50" s="556"/>
      <c r="AF50" s="556"/>
      <c r="AG50" s="556"/>
      <c r="AH50" s="556"/>
      <c r="AI50" s="556"/>
      <c r="AJ50" s="556"/>
      <c r="AK50" s="556"/>
      <c r="AL50" s="556"/>
      <c r="AM50" s="556"/>
      <c r="AN50" s="556"/>
      <c r="AO50" s="556"/>
      <c r="AP50" s="556"/>
      <c r="AQ50" s="556"/>
      <c r="AR50" s="556"/>
      <c r="AS50" s="556"/>
      <c r="AT50" s="556"/>
      <c r="AU50" s="556"/>
      <c r="AV50" s="556"/>
      <c r="AW50" s="556"/>
      <c r="AX50" s="548"/>
      <c r="AY50" s="548"/>
      <c r="AZ50" s="548"/>
    </row>
    <row r="51" spans="1:52" ht="22.5" hidden="1" outlineLevel="1" x14ac:dyDescent="0.25">
      <c r="A51" s="540" t="str">
        <f t="shared" si="7"/>
        <v>1</v>
      </c>
      <c r="C51" s="550"/>
      <c r="D51" s="550" t="s">
        <v>682</v>
      </c>
      <c r="L51" s="551" t="s">
        <v>683</v>
      </c>
      <c r="M51" s="560" t="s">
        <v>684</v>
      </c>
      <c r="N51" s="553" t="s">
        <v>123</v>
      </c>
      <c r="O51" s="568">
        <f>O52+O53</f>
        <v>0</v>
      </c>
      <c r="P51" s="568" t="e">
        <f>P52+P53</f>
        <v>#REF!</v>
      </c>
      <c r="Q51" s="568" t="e">
        <f>Q52+Q53</f>
        <v>#REF!</v>
      </c>
      <c r="R51" s="562" t="e">
        <f t="shared" si="4"/>
        <v>#REF!</v>
      </c>
      <c r="S51" s="568">
        <f>S52+S53</f>
        <v>1814.78</v>
      </c>
      <c r="T51" s="556"/>
      <c r="U51" s="556"/>
      <c r="V51" s="556"/>
      <c r="W51" s="556"/>
      <c r="X51" s="556"/>
      <c r="Y51" s="556"/>
      <c r="Z51" s="556"/>
      <c r="AA51" s="556"/>
      <c r="AB51" s="556"/>
      <c r="AC51" s="556"/>
      <c r="AD51" s="556"/>
      <c r="AE51" s="556"/>
      <c r="AF51" s="556"/>
      <c r="AG51" s="556"/>
      <c r="AH51" s="556"/>
      <c r="AI51" s="556"/>
      <c r="AJ51" s="556"/>
      <c r="AK51" s="556"/>
      <c r="AL51" s="556"/>
      <c r="AM51" s="556"/>
      <c r="AN51" s="556"/>
      <c r="AO51" s="556"/>
      <c r="AP51" s="556"/>
      <c r="AQ51" s="556"/>
      <c r="AR51" s="556"/>
      <c r="AS51" s="556"/>
      <c r="AT51" s="556"/>
      <c r="AU51" s="556"/>
      <c r="AV51" s="556"/>
      <c r="AW51" s="556"/>
      <c r="AX51" s="548"/>
      <c r="AY51" s="548"/>
      <c r="AZ51" s="548"/>
    </row>
    <row r="52" spans="1:52" ht="30" hidden="1" outlineLevel="1" x14ac:dyDescent="0.25">
      <c r="A52" s="540" t="str">
        <f t="shared" si="7"/>
        <v>1</v>
      </c>
      <c r="B52" s="520" t="s">
        <v>685</v>
      </c>
      <c r="C52" s="550"/>
      <c r="D52" s="550" t="s">
        <v>686</v>
      </c>
      <c r="L52" s="551" t="s">
        <v>687</v>
      </c>
      <c r="M52" s="564" t="s">
        <v>688</v>
      </c>
      <c r="N52" s="578" t="s">
        <v>123</v>
      </c>
      <c r="O52" s="566">
        <v>0</v>
      </c>
      <c r="P52" s="566">
        <f>1305.61</f>
        <v>1305.6099999999999</v>
      </c>
      <c r="Q52" s="566"/>
      <c r="R52" s="562">
        <f t="shared" si="4"/>
        <v>-1305.6099999999999</v>
      </c>
      <c r="S52" s="566">
        <v>1393.98</v>
      </c>
      <c r="T52" s="556"/>
      <c r="U52" s="556"/>
      <c r="V52" s="556"/>
      <c r="W52" s="556"/>
      <c r="X52" s="556"/>
      <c r="Y52" s="556"/>
      <c r="Z52" s="556"/>
      <c r="AA52" s="556"/>
      <c r="AB52" s="556"/>
      <c r="AC52" s="556"/>
      <c r="AD52" s="556"/>
      <c r="AE52" s="556"/>
      <c r="AF52" s="556"/>
      <c r="AG52" s="556"/>
      <c r="AH52" s="556"/>
      <c r="AI52" s="556"/>
      <c r="AJ52" s="556"/>
      <c r="AK52" s="556"/>
      <c r="AL52" s="556"/>
      <c r="AM52" s="556"/>
      <c r="AN52" s="556"/>
      <c r="AO52" s="556"/>
      <c r="AP52" s="556"/>
      <c r="AQ52" s="556"/>
      <c r="AR52" s="556"/>
      <c r="AS52" s="556"/>
      <c r="AT52" s="556"/>
      <c r="AU52" s="556"/>
      <c r="AV52" s="556"/>
      <c r="AW52" s="556"/>
      <c r="AX52" s="548"/>
      <c r="AY52" s="548"/>
      <c r="AZ52" s="548"/>
    </row>
    <row r="53" spans="1:52" ht="30" hidden="1" outlineLevel="1" x14ac:dyDescent="0.25">
      <c r="A53" s="540" t="str">
        <f t="shared" si="7"/>
        <v>1</v>
      </c>
      <c r="B53" s="520" t="s">
        <v>689</v>
      </c>
      <c r="C53" s="550"/>
      <c r="D53" s="550" t="s">
        <v>690</v>
      </c>
      <c r="L53" s="551" t="s">
        <v>691</v>
      </c>
      <c r="M53" s="564" t="s">
        <v>692</v>
      </c>
      <c r="N53" s="553" t="s">
        <v>123</v>
      </c>
      <c r="O53" s="566">
        <v>0</v>
      </c>
      <c r="P53" s="566" t="e">
        <f>P52* SUMIFS(INDEX([14]Сценарии!$O$15:$AP$53,,MATCH(P$3,[14]Сценарии!$O$3:$AP$3,0)),[14]Сценарии!$A$15:$A$53,$A53,[14]Сценарии!$B$15:$B$53,"СВФОТ")/100</f>
        <v>#REF!</v>
      </c>
      <c r="Q53" s="566" t="e">
        <f>Q52* SUMIFS(INDEX([14]Сценарии!$O$15:$AP$53,,MATCH(Q$3,[14]Сценарии!$O$3:$AP$3,0)),[14]Сценарии!$A$15:$A$53,$A53,[14]Сценарии!$B$15:$B$53,"СВФОТ")/100</f>
        <v>#REF!</v>
      </c>
      <c r="R53" s="562" t="e">
        <f t="shared" si="4"/>
        <v>#REF!</v>
      </c>
      <c r="S53" s="566">
        <v>420.8</v>
      </c>
      <c r="T53" s="556"/>
      <c r="U53" s="556"/>
      <c r="V53" s="556"/>
      <c r="W53" s="556"/>
      <c r="X53" s="556"/>
      <c r="Y53" s="556"/>
      <c r="Z53" s="556"/>
      <c r="AA53" s="556"/>
      <c r="AB53" s="556"/>
      <c r="AC53" s="556"/>
      <c r="AD53" s="556"/>
      <c r="AE53" s="556"/>
      <c r="AF53" s="556"/>
      <c r="AG53" s="556"/>
      <c r="AH53" s="556"/>
      <c r="AI53" s="556"/>
      <c r="AJ53" s="556"/>
      <c r="AK53" s="556"/>
      <c r="AL53" s="556"/>
      <c r="AM53" s="556"/>
      <c r="AN53" s="556"/>
      <c r="AO53" s="556"/>
      <c r="AP53" s="556"/>
      <c r="AQ53" s="556"/>
      <c r="AR53" s="556"/>
      <c r="AS53" s="556"/>
      <c r="AT53" s="556"/>
      <c r="AU53" s="556"/>
      <c r="AV53" s="556"/>
      <c r="AW53" s="556"/>
      <c r="AX53" s="548"/>
      <c r="AY53" s="548"/>
      <c r="AZ53" s="548"/>
    </row>
    <row r="54" spans="1:52" ht="33.75" hidden="1" outlineLevel="1" x14ac:dyDescent="0.25">
      <c r="A54" s="540" t="str">
        <f t="shared" si="7"/>
        <v>1</v>
      </c>
      <c r="B54" s="577" t="s">
        <v>693</v>
      </c>
      <c r="C54" s="550"/>
      <c r="D54" s="550" t="s">
        <v>694</v>
      </c>
      <c r="L54" s="551" t="s">
        <v>695</v>
      </c>
      <c r="M54" s="560" t="s">
        <v>696</v>
      </c>
      <c r="N54" s="553" t="s">
        <v>123</v>
      </c>
      <c r="O54" s="566">
        <v>0</v>
      </c>
      <c r="P54" s="566">
        <v>40.340000000000003</v>
      </c>
      <c r="Q54" s="566"/>
      <c r="R54" s="562">
        <f t="shared" si="4"/>
        <v>-40.340000000000003</v>
      </c>
      <c r="S54" s="566">
        <v>0</v>
      </c>
      <c r="T54" s="556"/>
      <c r="U54" s="556"/>
      <c r="V54" s="556"/>
      <c r="W54" s="556"/>
      <c r="X54" s="556"/>
      <c r="Y54" s="556"/>
      <c r="Z54" s="556"/>
      <c r="AA54" s="556"/>
      <c r="AB54" s="556"/>
      <c r="AC54" s="556"/>
      <c r="AD54" s="556"/>
      <c r="AE54" s="556"/>
      <c r="AF54" s="556"/>
      <c r="AG54" s="556"/>
      <c r="AH54" s="556"/>
      <c r="AI54" s="556"/>
      <c r="AJ54" s="556"/>
      <c r="AK54" s="556"/>
      <c r="AL54" s="556"/>
      <c r="AM54" s="556"/>
      <c r="AN54" s="556"/>
      <c r="AO54" s="556"/>
      <c r="AP54" s="556"/>
      <c r="AQ54" s="556"/>
      <c r="AR54" s="556"/>
      <c r="AS54" s="556"/>
      <c r="AT54" s="556"/>
      <c r="AU54" s="556"/>
      <c r="AV54" s="556"/>
      <c r="AW54" s="556"/>
      <c r="AX54" s="548"/>
      <c r="AY54" s="548"/>
      <c r="AZ54" s="548"/>
    </row>
    <row r="55" spans="1:52" ht="15" hidden="1" outlineLevel="1" x14ac:dyDescent="0.25">
      <c r="A55" s="540" t="str">
        <f t="shared" si="7"/>
        <v>1</v>
      </c>
      <c r="B55" s="577" t="s">
        <v>697</v>
      </c>
      <c r="C55" s="550"/>
      <c r="D55" s="550" t="s">
        <v>698</v>
      </c>
      <c r="L55" s="551" t="s">
        <v>699</v>
      </c>
      <c r="M55" s="560" t="s">
        <v>700</v>
      </c>
      <c r="N55" s="553" t="s">
        <v>123</v>
      </c>
      <c r="O55" s="566">
        <v>0</v>
      </c>
      <c r="P55" s="566"/>
      <c r="Q55" s="566"/>
      <c r="R55" s="562">
        <f t="shared" si="4"/>
        <v>0</v>
      </c>
      <c r="S55" s="566">
        <v>0</v>
      </c>
      <c r="T55" s="556"/>
      <c r="U55" s="556"/>
      <c r="V55" s="556"/>
      <c r="W55" s="556"/>
      <c r="X55" s="556"/>
      <c r="Y55" s="556"/>
      <c r="Z55" s="556"/>
      <c r="AA55" s="556"/>
      <c r="AB55" s="556"/>
      <c r="AC55" s="556"/>
      <c r="AD55" s="556"/>
      <c r="AE55" s="556"/>
      <c r="AF55" s="556"/>
      <c r="AG55" s="556"/>
      <c r="AH55" s="556"/>
      <c r="AI55" s="556"/>
      <c r="AJ55" s="556"/>
      <c r="AK55" s="556"/>
      <c r="AL55" s="556"/>
      <c r="AM55" s="556"/>
      <c r="AN55" s="556"/>
      <c r="AO55" s="556"/>
      <c r="AP55" s="556"/>
      <c r="AQ55" s="556"/>
      <c r="AR55" s="556"/>
      <c r="AS55" s="556"/>
      <c r="AT55" s="556"/>
      <c r="AU55" s="556"/>
      <c r="AV55" s="556"/>
      <c r="AW55" s="556"/>
      <c r="AX55" s="548"/>
      <c r="AY55" s="548"/>
      <c r="AZ55" s="548"/>
    </row>
    <row r="56" spans="1:52" ht="15" hidden="1" outlineLevel="1" x14ac:dyDescent="0.25">
      <c r="A56" s="540" t="str">
        <f t="shared" si="7"/>
        <v>1</v>
      </c>
      <c r="B56" s="577" t="s">
        <v>701</v>
      </c>
      <c r="C56" s="550"/>
      <c r="D56" s="550" t="s">
        <v>702</v>
      </c>
      <c r="L56" s="551" t="s">
        <v>703</v>
      </c>
      <c r="M56" s="560" t="s">
        <v>704</v>
      </c>
      <c r="N56" s="553" t="s">
        <v>123</v>
      </c>
      <c r="O56" s="566">
        <v>0</v>
      </c>
      <c r="P56" s="566">
        <v>10.27</v>
      </c>
      <c r="Q56" s="566"/>
      <c r="R56" s="562">
        <f t="shared" si="4"/>
        <v>-10.27</v>
      </c>
      <c r="S56" s="566">
        <v>0</v>
      </c>
      <c r="T56" s="556"/>
      <c r="U56" s="556"/>
      <c r="V56" s="556"/>
      <c r="W56" s="556"/>
      <c r="X56" s="556"/>
      <c r="Y56" s="556"/>
      <c r="Z56" s="556"/>
      <c r="AA56" s="556"/>
      <c r="AB56" s="556"/>
      <c r="AC56" s="556"/>
      <c r="AD56" s="556"/>
      <c r="AE56" s="556"/>
      <c r="AF56" s="556"/>
      <c r="AG56" s="556"/>
      <c r="AH56" s="556"/>
      <c r="AI56" s="556"/>
      <c r="AJ56" s="556"/>
      <c r="AK56" s="556"/>
      <c r="AL56" s="556"/>
      <c r="AM56" s="556"/>
      <c r="AN56" s="556"/>
      <c r="AO56" s="556"/>
      <c r="AP56" s="556"/>
      <c r="AQ56" s="556"/>
      <c r="AR56" s="556"/>
      <c r="AS56" s="556"/>
      <c r="AT56" s="556"/>
      <c r="AU56" s="556"/>
      <c r="AV56" s="556"/>
      <c r="AW56" s="556"/>
      <c r="AX56" s="548"/>
      <c r="AY56" s="548"/>
      <c r="AZ56" s="548"/>
    </row>
    <row r="57" spans="1:52" ht="15" hidden="1" outlineLevel="1" x14ac:dyDescent="0.25">
      <c r="A57" s="540" t="str">
        <f t="shared" si="7"/>
        <v>1</v>
      </c>
      <c r="B57" s="577" t="s">
        <v>705</v>
      </c>
      <c r="C57" s="550"/>
      <c r="D57" s="550" t="s">
        <v>706</v>
      </c>
      <c r="L57" s="551" t="s">
        <v>707</v>
      </c>
      <c r="M57" s="560" t="s">
        <v>708</v>
      </c>
      <c r="N57" s="553" t="s">
        <v>123</v>
      </c>
      <c r="O57" s="566">
        <v>0</v>
      </c>
      <c r="P57" s="566"/>
      <c r="Q57" s="566"/>
      <c r="R57" s="562">
        <f t="shared" si="4"/>
        <v>0</v>
      </c>
      <c r="S57" s="566">
        <v>0</v>
      </c>
      <c r="T57" s="556"/>
      <c r="U57" s="556"/>
      <c r="V57" s="556"/>
      <c r="W57" s="556"/>
      <c r="X57" s="556"/>
      <c r="Y57" s="556"/>
      <c r="Z57" s="556"/>
      <c r="AA57" s="556"/>
      <c r="AB57" s="556"/>
      <c r="AC57" s="556"/>
      <c r="AD57" s="556"/>
      <c r="AE57" s="556"/>
      <c r="AF57" s="556"/>
      <c r="AG57" s="556"/>
      <c r="AH57" s="556"/>
      <c r="AI57" s="556"/>
      <c r="AJ57" s="556"/>
      <c r="AK57" s="556"/>
      <c r="AL57" s="556"/>
      <c r="AM57" s="556"/>
      <c r="AN57" s="556"/>
      <c r="AO57" s="556"/>
      <c r="AP57" s="556"/>
      <c r="AQ57" s="556"/>
      <c r="AR57" s="556"/>
      <c r="AS57" s="556"/>
      <c r="AT57" s="556"/>
      <c r="AU57" s="556"/>
      <c r="AV57" s="556"/>
      <c r="AW57" s="556"/>
      <c r="AX57" s="548"/>
      <c r="AY57" s="548"/>
      <c r="AZ57" s="548"/>
    </row>
    <row r="58" spans="1:52" ht="15" hidden="1" outlineLevel="1" x14ac:dyDescent="0.25">
      <c r="A58" s="540" t="str">
        <f t="shared" si="7"/>
        <v>1</v>
      </c>
      <c r="B58" s="577" t="s">
        <v>709</v>
      </c>
      <c r="C58" s="550"/>
      <c r="D58" s="550" t="s">
        <v>710</v>
      </c>
      <c r="L58" s="551" t="s">
        <v>711</v>
      </c>
      <c r="M58" s="560" t="s">
        <v>712</v>
      </c>
      <c r="N58" s="553" t="s">
        <v>123</v>
      </c>
      <c r="O58" s="562">
        <f>SUM(O59:O61)</f>
        <v>0</v>
      </c>
      <c r="P58" s="562">
        <f>SUM(P59:P61)</f>
        <v>98.63000000000001</v>
      </c>
      <c r="Q58" s="562">
        <f>SUM(Q59:Q61)</f>
        <v>0</v>
      </c>
      <c r="R58" s="562">
        <f t="shared" si="4"/>
        <v>-98.63000000000001</v>
      </c>
      <c r="S58" s="562">
        <f>SUM(S59:S61)</f>
        <v>0</v>
      </c>
      <c r="T58" s="556"/>
      <c r="U58" s="556"/>
      <c r="V58" s="556"/>
      <c r="W58" s="556"/>
      <c r="X58" s="556"/>
      <c r="Y58" s="556"/>
      <c r="Z58" s="556"/>
      <c r="AA58" s="556"/>
      <c r="AB58" s="556"/>
      <c r="AC58" s="556"/>
      <c r="AD58" s="556"/>
      <c r="AE58" s="556"/>
      <c r="AF58" s="556"/>
      <c r="AG58" s="556"/>
      <c r="AH58" s="556"/>
      <c r="AI58" s="556"/>
      <c r="AJ58" s="556"/>
      <c r="AK58" s="556"/>
      <c r="AL58" s="556"/>
      <c r="AM58" s="556"/>
      <c r="AN58" s="556"/>
      <c r="AO58" s="556"/>
      <c r="AP58" s="556"/>
      <c r="AQ58" s="556"/>
      <c r="AR58" s="556"/>
      <c r="AS58" s="556"/>
      <c r="AT58" s="556"/>
      <c r="AU58" s="556"/>
      <c r="AV58" s="556"/>
      <c r="AW58" s="556"/>
      <c r="AX58" s="548"/>
      <c r="AY58" s="548"/>
      <c r="AZ58" s="548"/>
    </row>
    <row r="59" spans="1:52" ht="15" hidden="1" outlineLevel="1" x14ac:dyDescent="0.25">
      <c r="A59" s="540" t="str">
        <f t="shared" si="7"/>
        <v>1</v>
      </c>
      <c r="B59" s="577" t="s">
        <v>713</v>
      </c>
      <c r="C59" s="550"/>
      <c r="D59" s="550" t="s">
        <v>714</v>
      </c>
      <c r="L59" s="551" t="s">
        <v>715</v>
      </c>
      <c r="M59" s="567" t="s">
        <v>716</v>
      </c>
      <c r="N59" s="553" t="s">
        <v>123</v>
      </c>
      <c r="O59" s="566">
        <v>0</v>
      </c>
      <c r="P59" s="566">
        <v>78.040000000000006</v>
      </c>
      <c r="Q59" s="566"/>
      <c r="R59" s="562">
        <f t="shared" si="4"/>
        <v>-78.040000000000006</v>
      </c>
      <c r="S59" s="566">
        <v>0</v>
      </c>
      <c r="T59" s="556"/>
      <c r="U59" s="556"/>
      <c r="V59" s="556"/>
      <c r="W59" s="556"/>
      <c r="X59" s="556"/>
      <c r="Y59" s="556"/>
      <c r="Z59" s="556"/>
      <c r="AA59" s="556"/>
      <c r="AB59" s="556"/>
      <c r="AC59" s="556"/>
      <c r="AD59" s="556"/>
      <c r="AE59" s="556"/>
      <c r="AF59" s="556"/>
      <c r="AG59" s="556"/>
      <c r="AH59" s="556"/>
      <c r="AI59" s="556"/>
      <c r="AJ59" s="556"/>
      <c r="AK59" s="556"/>
      <c r="AL59" s="556"/>
      <c r="AM59" s="556"/>
      <c r="AN59" s="556"/>
      <c r="AO59" s="556"/>
      <c r="AP59" s="556"/>
      <c r="AQ59" s="556"/>
      <c r="AR59" s="556"/>
      <c r="AS59" s="556"/>
      <c r="AT59" s="556"/>
      <c r="AU59" s="556"/>
      <c r="AV59" s="556"/>
      <c r="AW59" s="556"/>
      <c r="AX59" s="548"/>
      <c r="AY59" s="548"/>
      <c r="AZ59" s="548"/>
    </row>
    <row r="60" spans="1:52" ht="15" hidden="1" outlineLevel="1" x14ac:dyDescent="0.25">
      <c r="A60" s="540" t="str">
        <f t="shared" si="7"/>
        <v>1</v>
      </c>
      <c r="B60" s="577" t="s">
        <v>717</v>
      </c>
      <c r="C60" s="550"/>
      <c r="D60" s="550" t="s">
        <v>718</v>
      </c>
      <c r="L60" s="551" t="s">
        <v>719</v>
      </c>
      <c r="M60" s="567" t="s">
        <v>720</v>
      </c>
      <c r="N60" s="553" t="s">
        <v>123</v>
      </c>
      <c r="O60" s="566">
        <v>0</v>
      </c>
      <c r="P60" s="566"/>
      <c r="Q60" s="566"/>
      <c r="R60" s="562">
        <f t="shared" si="4"/>
        <v>0</v>
      </c>
      <c r="S60" s="566">
        <v>0</v>
      </c>
      <c r="T60" s="556"/>
      <c r="U60" s="556"/>
      <c r="V60" s="556"/>
      <c r="W60" s="556"/>
      <c r="X60" s="556"/>
      <c r="Y60" s="556"/>
      <c r="Z60" s="556"/>
      <c r="AA60" s="556"/>
      <c r="AB60" s="556"/>
      <c r="AC60" s="556"/>
      <c r="AD60" s="556"/>
      <c r="AE60" s="556"/>
      <c r="AF60" s="556"/>
      <c r="AG60" s="556"/>
      <c r="AH60" s="556"/>
      <c r="AI60" s="556"/>
      <c r="AJ60" s="556"/>
      <c r="AK60" s="556"/>
      <c r="AL60" s="556"/>
      <c r="AM60" s="556"/>
      <c r="AN60" s="556"/>
      <c r="AO60" s="556"/>
      <c r="AP60" s="556"/>
      <c r="AQ60" s="556"/>
      <c r="AR60" s="556"/>
      <c r="AS60" s="556"/>
      <c r="AT60" s="556"/>
      <c r="AU60" s="556"/>
      <c r="AV60" s="556"/>
      <c r="AW60" s="556"/>
      <c r="AX60" s="548"/>
      <c r="AY60" s="548"/>
      <c r="AZ60" s="548"/>
    </row>
    <row r="61" spans="1:52" ht="15" hidden="1" outlineLevel="1" x14ac:dyDescent="0.25">
      <c r="A61" s="540" t="str">
        <f t="shared" si="7"/>
        <v>1</v>
      </c>
      <c r="B61" s="520" t="s">
        <v>721</v>
      </c>
      <c r="C61" s="550"/>
      <c r="D61" s="550" t="s">
        <v>722</v>
      </c>
      <c r="L61" s="551" t="s">
        <v>723</v>
      </c>
      <c r="M61" s="564" t="s">
        <v>724</v>
      </c>
      <c r="N61" s="553" t="s">
        <v>123</v>
      </c>
      <c r="O61" s="566">
        <v>0</v>
      </c>
      <c r="P61" s="566">
        <v>20.59</v>
      </c>
      <c r="Q61" s="566"/>
      <c r="R61" s="562">
        <f>Q61-P61</f>
        <v>-20.59</v>
      </c>
      <c r="S61" s="566">
        <v>0</v>
      </c>
      <c r="T61" s="556"/>
      <c r="U61" s="556"/>
      <c r="V61" s="556"/>
      <c r="W61" s="556"/>
      <c r="X61" s="556"/>
      <c r="Y61" s="556"/>
      <c r="Z61" s="556"/>
      <c r="AA61" s="556"/>
      <c r="AB61" s="556"/>
      <c r="AC61" s="556"/>
      <c r="AD61" s="556"/>
      <c r="AE61" s="556"/>
      <c r="AF61" s="556"/>
      <c r="AG61" s="556"/>
      <c r="AH61" s="556"/>
      <c r="AI61" s="556"/>
      <c r="AJ61" s="556"/>
      <c r="AK61" s="556"/>
      <c r="AL61" s="556"/>
      <c r="AM61" s="556"/>
      <c r="AN61" s="556"/>
      <c r="AO61" s="556"/>
      <c r="AP61" s="556"/>
      <c r="AQ61" s="556"/>
      <c r="AR61" s="556"/>
      <c r="AS61" s="556"/>
      <c r="AT61" s="556"/>
      <c r="AU61" s="556"/>
      <c r="AV61" s="556"/>
      <c r="AW61" s="556"/>
      <c r="AX61" s="548"/>
      <c r="AY61" s="548"/>
      <c r="AZ61" s="548"/>
    </row>
    <row r="62" spans="1:52" ht="22.5" hidden="1" outlineLevel="1" x14ac:dyDescent="0.25">
      <c r="A62" s="540" t="str">
        <f t="shared" si="7"/>
        <v>1</v>
      </c>
      <c r="C62" s="550"/>
      <c r="D62" s="550" t="s">
        <v>725</v>
      </c>
      <c r="L62" s="551" t="s">
        <v>54</v>
      </c>
      <c r="M62" s="552" t="s">
        <v>726</v>
      </c>
      <c r="N62" s="553" t="s">
        <v>123</v>
      </c>
      <c r="O62" s="566">
        <v>0</v>
      </c>
      <c r="P62" s="566"/>
      <c r="Q62" s="566"/>
      <c r="R62" s="562">
        <f t="shared" si="4"/>
        <v>0</v>
      </c>
      <c r="S62" s="566">
        <v>0</v>
      </c>
      <c r="T62" s="556"/>
      <c r="U62" s="556"/>
      <c r="V62" s="556"/>
      <c r="W62" s="556"/>
      <c r="X62" s="556"/>
      <c r="Y62" s="556"/>
      <c r="Z62" s="556"/>
      <c r="AA62" s="556"/>
      <c r="AB62" s="556"/>
      <c r="AC62" s="556"/>
      <c r="AD62" s="556"/>
      <c r="AE62" s="556"/>
      <c r="AF62" s="556"/>
      <c r="AG62" s="556"/>
      <c r="AH62" s="556"/>
      <c r="AI62" s="556"/>
      <c r="AJ62" s="556"/>
      <c r="AK62" s="556"/>
      <c r="AL62" s="556"/>
      <c r="AM62" s="556"/>
      <c r="AN62" s="556"/>
      <c r="AO62" s="556"/>
      <c r="AP62" s="556"/>
      <c r="AQ62" s="556"/>
      <c r="AR62" s="556"/>
      <c r="AS62" s="556"/>
      <c r="AT62" s="556"/>
      <c r="AU62" s="556"/>
      <c r="AV62" s="556"/>
      <c r="AW62" s="556"/>
      <c r="AX62" s="548"/>
      <c r="AY62" s="548"/>
      <c r="AZ62" s="548"/>
    </row>
    <row r="63" spans="1:52" ht="11.25" hidden="1" outlineLevel="1" x14ac:dyDescent="0.25">
      <c r="A63" s="540" t="str">
        <f t="shared" si="7"/>
        <v>1</v>
      </c>
      <c r="C63" s="550"/>
      <c r="D63" s="550" t="s">
        <v>727</v>
      </c>
      <c r="L63" s="551" t="s">
        <v>56</v>
      </c>
      <c r="M63" s="552" t="s">
        <v>728</v>
      </c>
      <c r="N63" s="553" t="s">
        <v>123</v>
      </c>
      <c r="O63" s="566">
        <v>0</v>
      </c>
      <c r="P63" s="566"/>
      <c r="Q63" s="566"/>
      <c r="R63" s="562">
        <f>Q63-P63</f>
        <v>0</v>
      </c>
      <c r="S63" s="566">
        <v>0</v>
      </c>
      <c r="T63" s="556"/>
      <c r="U63" s="556"/>
      <c r="V63" s="556"/>
      <c r="W63" s="556"/>
      <c r="X63" s="556"/>
      <c r="Y63" s="556"/>
      <c r="Z63" s="556"/>
      <c r="AA63" s="556"/>
      <c r="AB63" s="556"/>
      <c r="AC63" s="556"/>
      <c r="AD63" s="556"/>
      <c r="AE63" s="556"/>
      <c r="AF63" s="556"/>
      <c r="AG63" s="556"/>
      <c r="AH63" s="556"/>
      <c r="AI63" s="556"/>
      <c r="AJ63" s="556"/>
      <c r="AK63" s="556"/>
      <c r="AL63" s="556"/>
      <c r="AM63" s="556"/>
      <c r="AN63" s="556"/>
      <c r="AO63" s="556"/>
      <c r="AP63" s="556"/>
      <c r="AQ63" s="556"/>
      <c r="AR63" s="556"/>
      <c r="AS63" s="556"/>
      <c r="AT63" s="556"/>
      <c r="AU63" s="556"/>
      <c r="AV63" s="556"/>
      <c r="AW63" s="556"/>
      <c r="AX63" s="548"/>
      <c r="AY63" s="548"/>
      <c r="AZ63" s="548"/>
    </row>
    <row r="64" spans="1:52" s="572" customFormat="1" ht="11.25" hidden="1" outlineLevel="1" x14ac:dyDescent="0.25">
      <c r="A64" s="540" t="str">
        <f t="shared" si="7"/>
        <v>1</v>
      </c>
      <c r="C64" s="550"/>
      <c r="D64" s="550" t="s">
        <v>729</v>
      </c>
      <c r="L64" s="573" t="s">
        <v>68</v>
      </c>
      <c r="M64" s="574" t="s">
        <v>730</v>
      </c>
      <c r="N64" s="575" t="s">
        <v>123</v>
      </c>
      <c r="O64" s="576">
        <f>SUM(O65:O66)</f>
        <v>0</v>
      </c>
      <c r="P64" s="576">
        <f>SUM(P65:P66)</f>
        <v>0</v>
      </c>
      <c r="Q64" s="576">
        <f>SUM(Q65:Q66)</f>
        <v>0</v>
      </c>
      <c r="R64" s="546">
        <f>Q64-P64</f>
        <v>0</v>
      </c>
      <c r="S64" s="576">
        <f>SUM(S65:S66)</f>
        <v>0</v>
      </c>
      <c r="T64" s="556"/>
      <c r="U64" s="558"/>
      <c r="V64" s="558"/>
      <c r="W64" s="558"/>
      <c r="X64" s="558"/>
      <c r="Y64" s="558"/>
      <c r="Z64" s="558"/>
      <c r="AA64" s="558"/>
      <c r="AB64" s="558"/>
      <c r="AC64" s="558"/>
      <c r="AD64" s="556"/>
      <c r="AE64" s="556"/>
      <c r="AF64" s="558"/>
      <c r="AG64" s="558"/>
      <c r="AH64" s="558"/>
      <c r="AI64" s="558"/>
      <c r="AJ64" s="558"/>
      <c r="AK64" s="558"/>
      <c r="AL64" s="558"/>
      <c r="AM64" s="558"/>
      <c r="AN64" s="558"/>
      <c r="AO64" s="558"/>
      <c r="AP64" s="558"/>
      <c r="AQ64" s="558"/>
      <c r="AR64" s="558"/>
      <c r="AS64" s="558"/>
      <c r="AT64" s="558"/>
      <c r="AU64" s="558"/>
      <c r="AV64" s="558"/>
      <c r="AW64" s="558"/>
      <c r="AX64" s="559"/>
      <c r="AY64" s="559"/>
      <c r="AZ64" s="559"/>
    </row>
    <row r="65" spans="1:53" ht="11.25" hidden="1" outlineLevel="1" x14ac:dyDescent="0.25">
      <c r="A65" s="540" t="str">
        <f t="shared" si="7"/>
        <v>1</v>
      </c>
      <c r="L65" s="551" t="s">
        <v>731</v>
      </c>
      <c r="M65" s="552"/>
      <c r="N65" s="553"/>
      <c r="O65" s="566"/>
      <c r="P65" s="556"/>
      <c r="Q65" s="556"/>
      <c r="R65" s="556"/>
      <c r="S65" s="566"/>
      <c r="T65" s="556"/>
      <c r="U65" s="556"/>
      <c r="V65" s="556"/>
      <c r="W65" s="556"/>
      <c r="X65" s="556"/>
      <c r="Y65" s="556"/>
      <c r="Z65" s="556"/>
      <c r="AA65" s="556"/>
      <c r="AB65" s="556"/>
      <c r="AC65" s="556"/>
      <c r="AD65" s="556"/>
      <c r="AE65" s="556"/>
      <c r="AF65" s="556"/>
      <c r="AG65" s="556"/>
      <c r="AH65" s="556"/>
      <c r="AI65" s="556"/>
      <c r="AJ65" s="556"/>
      <c r="AK65" s="556"/>
      <c r="AL65" s="556"/>
      <c r="AM65" s="556"/>
      <c r="AN65" s="556"/>
      <c r="AO65" s="556"/>
      <c r="AP65" s="556"/>
      <c r="AQ65" s="556"/>
      <c r="AR65" s="556"/>
      <c r="AS65" s="556"/>
      <c r="AT65" s="556"/>
      <c r="AU65" s="556"/>
      <c r="AV65" s="556"/>
      <c r="AW65" s="556"/>
      <c r="AX65" s="579"/>
      <c r="AY65" s="579"/>
      <c r="AZ65" s="579"/>
    </row>
    <row r="66" spans="1:53" ht="15" hidden="1" outlineLevel="1" x14ac:dyDescent="0.25">
      <c r="A66" s="540" t="str">
        <f t="shared" si="7"/>
        <v>1</v>
      </c>
      <c r="B66" s="580"/>
      <c r="D66" s="520" t="str">
        <f>A66&amp;"pIns1"</f>
        <v>1pIns1</v>
      </c>
      <c r="L66" s="581"/>
      <c r="M66" s="582" t="s">
        <v>732</v>
      </c>
      <c r="N66" s="583"/>
      <c r="O66" s="583"/>
      <c r="P66" s="583"/>
      <c r="Q66" s="583"/>
      <c r="R66" s="583"/>
      <c r="S66" s="583"/>
      <c r="T66" s="583"/>
      <c r="U66" s="583"/>
      <c r="V66" s="583"/>
      <c r="W66" s="583"/>
      <c r="X66" s="583"/>
      <c r="Y66" s="583"/>
      <c r="Z66" s="583"/>
      <c r="AA66" s="583"/>
      <c r="AB66" s="583"/>
      <c r="AC66" s="583"/>
      <c r="AD66" s="583"/>
      <c r="AE66" s="583"/>
      <c r="AF66" s="583"/>
      <c r="AG66" s="583"/>
      <c r="AH66" s="583"/>
      <c r="AI66" s="583"/>
      <c r="AJ66" s="583"/>
      <c r="AK66" s="583"/>
      <c r="AL66" s="583"/>
      <c r="AM66" s="583"/>
      <c r="AN66" s="583"/>
      <c r="AO66" s="583"/>
      <c r="AP66" s="583"/>
      <c r="AQ66" s="583"/>
      <c r="AR66" s="583"/>
      <c r="AS66" s="583"/>
      <c r="AT66" s="583"/>
      <c r="AU66" s="583"/>
      <c r="AV66" s="583"/>
      <c r="AW66" s="583"/>
      <c r="AX66" s="583"/>
      <c r="AY66" s="583"/>
      <c r="AZ66" s="584"/>
    </row>
    <row r="67" spans="1:53" s="572" customFormat="1" ht="11.25" hidden="1" outlineLevel="1" x14ac:dyDescent="0.25">
      <c r="A67" s="540" t="str">
        <f t="shared" si="7"/>
        <v>1</v>
      </c>
      <c r="C67" s="520"/>
      <c r="D67" s="520" t="s">
        <v>733</v>
      </c>
      <c r="L67" s="543" t="s">
        <v>108</v>
      </c>
      <c r="M67" s="544" t="s">
        <v>138</v>
      </c>
      <c r="N67" s="545" t="s">
        <v>123</v>
      </c>
      <c r="O67" s="576" t="e">
        <f>O68+O79+O80++O90+O91+O92+O94+O95+O96+O97+O100</f>
        <v>#VALUE!</v>
      </c>
      <c r="P67" s="576" t="e">
        <f>P68+P79+P80++P90+P91+P92+P94+P95+P96+P97+P100</f>
        <v>#VALUE!</v>
      </c>
      <c r="Q67" s="576" t="e">
        <f>Q68+Q79+Q80++Q90+Q91+Q92+Q94+Q95+Q96+Q97+Q100</f>
        <v>#VALUE!</v>
      </c>
      <c r="R67" s="546" t="e">
        <f t="shared" ref="R67:R77" si="8">Q67-P67</f>
        <v>#VALUE!</v>
      </c>
      <c r="S67" s="576" t="e">
        <f>S68+S79+S80++S90+S91+S92+S94+S95+S96+S97+S100</f>
        <v>#VALUE!</v>
      </c>
      <c r="T67" s="576" t="e">
        <f t="shared" ref="T67:AM67" si="9">T68+T79+T80++T90+T91+T92+T94+T95+T96+T97+T100</f>
        <v>#VALUE!</v>
      </c>
      <c r="U67" s="576" t="e">
        <f t="shared" si="9"/>
        <v>#VALUE!</v>
      </c>
      <c r="V67" s="576" t="e">
        <f t="shared" si="9"/>
        <v>#VALUE!</v>
      </c>
      <c r="W67" s="576" t="e">
        <f t="shared" si="9"/>
        <v>#VALUE!</v>
      </c>
      <c r="X67" s="576" t="e">
        <f t="shared" si="9"/>
        <v>#VALUE!</v>
      </c>
      <c r="Y67" s="576" t="e">
        <f t="shared" si="9"/>
        <v>#VALUE!</v>
      </c>
      <c r="Z67" s="576" t="e">
        <f t="shared" si="9"/>
        <v>#VALUE!</v>
      </c>
      <c r="AA67" s="576" t="e">
        <f t="shared" si="9"/>
        <v>#VALUE!</v>
      </c>
      <c r="AB67" s="576" t="e">
        <f t="shared" si="9"/>
        <v>#VALUE!</v>
      </c>
      <c r="AC67" s="576" t="e">
        <f t="shared" si="9"/>
        <v>#VALUE!</v>
      </c>
      <c r="AD67" s="576" t="e">
        <f t="shared" si="9"/>
        <v>#VALUE!</v>
      </c>
      <c r="AE67" s="576" t="e">
        <f t="shared" si="9"/>
        <v>#VALUE!</v>
      </c>
      <c r="AF67" s="576" t="e">
        <f t="shared" si="9"/>
        <v>#VALUE!</v>
      </c>
      <c r="AG67" s="576" t="e">
        <f t="shared" si="9"/>
        <v>#VALUE!</v>
      </c>
      <c r="AH67" s="576" t="e">
        <f t="shared" si="9"/>
        <v>#VALUE!</v>
      </c>
      <c r="AI67" s="576" t="e">
        <f t="shared" si="9"/>
        <v>#VALUE!</v>
      </c>
      <c r="AJ67" s="576" t="e">
        <f t="shared" si="9"/>
        <v>#VALUE!</v>
      </c>
      <c r="AK67" s="576" t="e">
        <f t="shared" si="9"/>
        <v>#VALUE!</v>
      </c>
      <c r="AL67" s="576" t="e">
        <f t="shared" si="9"/>
        <v>#VALUE!</v>
      </c>
      <c r="AM67" s="576" t="e">
        <f t="shared" si="9"/>
        <v>#VALUE!</v>
      </c>
      <c r="AN67" s="546" t="e">
        <f>IF(S67=0,0,(AD67-S67)/S67*100)</f>
        <v>#VALUE!</v>
      </c>
      <c r="AO67" s="546" t="e">
        <f t="shared" ref="AO67:AW82" si="10">IF(AD67=0,0,(AE67-AD67)/AD67*100)</f>
        <v>#VALUE!</v>
      </c>
      <c r="AP67" s="546" t="e">
        <f t="shared" si="10"/>
        <v>#VALUE!</v>
      </c>
      <c r="AQ67" s="546" t="e">
        <f t="shared" si="10"/>
        <v>#VALUE!</v>
      </c>
      <c r="AR67" s="546" t="e">
        <f t="shared" si="10"/>
        <v>#VALUE!</v>
      </c>
      <c r="AS67" s="546" t="e">
        <f t="shared" si="10"/>
        <v>#VALUE!</v>
      </c>
      <c r="AT67" s="546" t="e">
        <f t="shared" si="10"/>
        <v>#VALUE!</v>
      </c>
      <c r="AU67" s="546" t="e">
        <f t="shared" si="10"/>
        <v>#VALUE!</v>
      </c>
      <c r="AV67" s="546" t="e">
        <f t="shared" si="10"/>
        <v>#VALUE!</v>
      </c>
      <c r="AW67" s="546" t="e">
        <f t="shared" si="10"/>
        <v>#VALUE!</v>
      </c>
      <c r="AX67" s="548"/>
      <c r="AY67" s="548"/>
      <c r="AZ67" s="548"/>
      <c r="BA67" s="549"/>
    </row>
    <row r="68" spans="1:53" s="572" customFormat="1" ht="22.5" hidden="1" outlineLevel="1" x14ac:dyDescent="0.25">
      <c r="A68" s="540" t="str">
        <f t="shared" si="7"/>
        <v>1</v>
      </c>
      <c r="C68" s="520"/>
      <c r="D68" s="520" t="s">
        <v>734</v>
      </c>
      <c r="L68" s="573" t="s">
        <v>370</v>
      </c>
      <c r="M68" s="574" t="s">
        <v>140</v>
      </c>
      <c r="N68" s="575" t="s">
        <v>123</v>
      </c>
      <c r="O68" s="576">
        <f>SUM(O69:O78)</f>
        <v>0</v>
      </c>
      <c r="P68" s="576">
        <f>SUM(P69:P78)</f>
        <v>0</v>
      </c>
      <c r="Q68" s="576">
        <f>SUM(Q69:Q78)</f>
        <v>0</v>
      </c>
      <c r="R68" s="546">
        <f t="shared" si="8"/>
        <v>0</v>
      </c>
      <c r="S68" s="576">
        <f>SUM(S69:S78)</f>
        <v>0</v>
      </c>
      <c r="T68" s="576">
        <f t="shared" ref="T68:AM68" si="11">SUM(T69:T78)</f>
        <v>0</v>
      </c>
      <c r="U68" s="576">
        <f t="shared" si="11"/>
        <v>0</v>
      </c>
      <c r="V68" s="576">
        <f t="shared" si="11"/>
        <v>0</v>
      </c>
      <c r="W68" s="576">
        <f t="shared" si="11"/>
        <v>0</v>
      </c>
      <c r="X68" s="576">
        <f t="shared" si="11"/>
        <v>0</v>
      </c>
      <c r="Y68" s="576">
        <f t="shared" si="11"/>
        <v>0</v>
      </c>
      <c r="Z68" s="576">
        <f t="shared" si="11"/>
        <v>0</v>
      </c>
      <c r="AA68" s="576">
        <f t="shared" si="11"/>
        <v>0</v>
      </c>
      <c r="AB68" s="576">
        <f t="shared" si="11"/>
        <v>0</v>
      </c>
      <c r="AC68" s="576">
        <f t="shared" si="11"/>
        <v>0</v>
      </c>
      <c r="AD68" s="576">
        <f t="shared" si="11"/>
        <v>0</v>
      </c>
      <c r="AE68" s="576">
        <f t="shared" si="11"/>
        <v>0</v>
      </c>
      <c r="AF68" s="576">
        <f t="shared" si="11"/>
        <v>0</v>
      </c>
      <c r="AG68" s="576">
        <f t="shared" si="11"/>
        <v>0</v>
      </c>
      <c r="AH68" s="576">
        <f t="shared" si="11"/>
        <v>0</v>
      </c>
      <c r="AI68" s="576">
        <f t="shared" si="11"/>
        <v>0</v>
      </c>
      <c r="AJ68" s="576">
        <f t="shared" si="11"/>
        <v>0</v>
      </c>
      <c r="AK68" s="576">
        <f t="shared" si="11"/>
        <v>0</v>
      </c>
      <c r="AL68" s="576">
        <f t="shared" si="11"/>
        <v>0</v>
      </c>
      <c r="AM68" s="576">
        <f t="shared" si="11"/>
        <v>0</v>
      </c>
      <c r="AN68" s="546">
        <f>IF(S68=0,0,(AD68-S68)/S68*100)</f>
        <v>0</v>
      </c>
      <c r="AO68" s="546">
        <f t="shared" si="10"/>
        <v>0</v>
      </c>
      <c r="AP68" s="546">
        <f t="shared" si="10"/>
        <v>0</v>
      </c>
      <c r="AQ68" s="546">
        <f t="shared" si="10"/>
        <v>0</v>
      </c>
      <c r="AR68" s="546">
        <f t="shared" si="10"/>
        <v>0</v>
      </c>
      <c r="AS68" s="546">
        <f t="shared" si="10"/>
        <v>0</v>
      </c>
      <c r="AT68" s="546">
        <f t="shared" si="10"/>
        <v>0</v>
      </c>
      <c r="AU68" s="546">
        <f t="shared" si="10"/>
        <v>0</v>
      </c>
      <c r="AV68" s="546">
        <f t="shared" si="10"/>
        <v>0</v>
      </c>
      <c r="AW68" s="546">
        <f t="shared" si="10"/>
        <v>0</v>
      </c>
      <c r="AX68" s="559"/>
      <c r="AY68" s="559"/>
      <c r="AZ68" s="559"/>
    </row>
    <row r="69" spans="1:53" ht="11.25" hidden="1" outlineLevel="1" x14ac:dyDescent="0.25">
      <c r="A69" s="540" t="str">
        <f t="shared" si="7"/>
        <v>1</v>
      </c>
      <c r="B69" s="520" t="s">
        <v>735</v>
      </c>
      <c r="D69" s="520" t="s">
        <v>736</v>
      </c>
      <c r="L69" s="551" t="s">
        <v>737</v>
      </c>
      <c r="M69" s="560" t="s">
        <v>738</v>
      </c>
      <c r="N69" s="553" t="s">
        <v>123</v>
      </c>
      <c r="O69" s="562">
        <f>SUMIFS([14]Покупка!O$15:O$54,[14]Покупка!$A$15:$A$54,$A69,[14]Покупка!$M$15:$M$54,$B69)</f>
        <v>0</v>
      </c>
      <c r="P69" s="562">
        <f>SUMIFS([14]Покупка!P$15:P$54,[14]Покупка!$A$15:$A$54,$A69,[14]Покупка!$M$15:$M$54,$B69)</f>
        <v>0</v>
      </c>
      <c r="Q69" s="562">
        <f>SUMIFS([14]Покупка!Q$15:Q$54,[14]Покупка!$A$15:$A$54,$A69,[14]Покупка!$M$15:$M$54,$B69)</f>
        <v>0</v>
      </c>
      <c r="R69" s="562">
        <f t="shared" si="8"/>
        <v>0</v>
      </c>
      <c r="S69" s="562">
        <f>SUMIFS([14]Покупка!R$15:R$54,[14]Покупка!$A$15:$A$54,$A69,[14]Покупка!$M$15:$M$54,$B69)</f>
        <v>0</v>
      </c>
      <c r="T69" s="562">
        <f>SUMIFS([14]Покупка!S$15:S$54,[14]Покупка!$A$15:$A$54,$A69,[14]Покупка!$M$15:$M$54,$B69)</f>
        <v>0</v>
      </c>
      <c r="U69" s="562">
        <f>SUMIFS([14]Покупка!T$15:T$54,[14]Покупка!$A$15:$A$54,$A69,[14]Покупка!$M$15:$M$54,$B69)</f>
        <v>0</v>
      </c>
      <c r="V69" s="562">
        <f>SUMIFS([14]Покупка!U$15:U$54,[14]Покупка!$A$15:$A$54,$A69,[14]Покупка!$M$15:$M$54,$B69)</f>
        <v>0</v>
      </c>
      <c r="W69" s="562">
        <f>SUMIFS([14]Покупка!V$15:V$54,[14]Покупка!$A$15:$A$54,$A69,[14]Покупка!$M$15:$M$54,$B69)</f>
        <v>0</v>
      </c>
      <c r="X69" s="562">
        <f>SUMIFS([14]Покупка!W$15:W$54,[14]Покупка!$A$15:$A$54,$A69,[14]Покупка!$M$15:$M$54,$B69)</f>
        <v>0</v>
      </c>
      <c r="Y69" s="562">
        <f>SUMIFS([14]Покупка!X$15:X$54,[14]Покупка!$A$15:$A$54,$A69,[14]Покупка!$M$15:$M$54,$B69)</f>
        <v>0</v>
      </c>
      <c r="Z69" s="562">
        <f>SUMIFS([14]Покупка!Y$15:Y$54,[14]Покупка!$A$15:$A$54,$A69,[14]Покупка!$M$15:$M$54,$B69)</f>
        <v>0</v>
      </c>
      <c r="AA69" s="562">
        <f>SUMIFS([14]Покупка!Z$15:Z$54,[14]Покупка!$A$15:$A$54,$A69,[14]Покупка!$M$15:$M$54,$B69)</f>
        <v>0</v>
      </c>
      <c r="AB69" s="562">
        <f>SUMIFS([14]Покупка!AA$15:AA$54,[14]Покупка!$A$15:$A$54,$A69,[14]Покупка!$M$15:$M$54,$B69)</f>
        <v>0</v>
      </c>
      <c r="AC69" s="562">
        <f>SUMIFS([14]Покупка!AB$15:AB$54,[14]Покупка!$A$15:$A$54,$A69,[14]Покупка!$M$15:$M$54,$B69)</f>
        <v>0</v>
      </c>
      <c r="AD69" s="562">
        <f>SUMIFS([14]Покупка!AC$15:AC$54,[14]Покупка!$A$15:$A$54,$A69,[14]Покупка!$M$15:$M$54,$B69)</f>
        <v>0</v>
      </c>
      <c r="AE69" s="562">
        <f>SUMIFS([14]Покупка!AD$15:AD$54,[14]Покупка!$A$15:$A$54,$A69,[14]Покупка!$M$15:$M$54,$B69)</f>
        <v>0</v>
      </c>
      <c r="AF69" s="562">
        <f>SUMIFS([14]Покупка!AE$15:AE$54,[14]Покупка!$A$15:$A$54,$A69,[14]Покупка!$M$15:$M$54,$B69)</f>
        <v>0</v>
      </c>
      <c r="AG69" s="562">
        <f>SUMIFS([14]Покупка!AF$15:AF$54,[14]Покупка!$A$15:$A$54,$A69,[14]Покупка!$M$15:$M$54,$B69)</f>
        <v>0</v>
      </c>
      <c r="AH69" s="562">
        <f>SUMIFS([14]Покупка!AG$15:AG$54,[14]Покупка!$A$15:$A$54,$A69,[14]Покупка!$M$15:$M$54,$B69)</f>
        <v>0</v>
      </c>
      <c r="AI69" s="562">
        <f>SUMIFS([14]Покупка!AH$15:AH$54,[14]Покупка!$A$15:$A$54,$A69,[14]Покупка!$M$15:$M$54,$B69)</f>
        <v>0</v>
      </c>
      <c r="AJ69" s="562">
        <f>SUMIFS([14]Покупка!AI$15:AI$54,[14]Покупка!$A$15:$A$54,$A69,[14]Покупка!$M$15:$M$54,$B69)</f>
        <v>0</v>
      </c>
      <c r="AK69" s="562">
        <f>SUMIFS([14]Покупка!AJ$15:AJ$54,[14]Покупка!$A$15:$A$54,$A69,[14]Покупка!$M$15:$M$54,$B69)</f>
        <v>0</v>
      </c>
      <c r="AL69" s="562">
        <f>SUMIFS([14]Покупка!AK$15:AK$54,[14]Покупка!$A$15:$A$54,$A69,[14]Покупка!$M$15:$M$54,$B69)</f>
        <v>0</v>
      </c>
      <c r="AM69" s="562">
        <f>SUMIFS([14]Покупка!AL$15:AL$54,[14]Покупка!$A$15:$A$54,$A69,[14]Покупка!$M$15:$M$54,$B69)</f>
        <v>0</v>
      </c>
      <c r="AN69" s="562">
        <f t="shared" ref="AN69:AN110" si="12">IF(S69=0,0,(AD69-S69)/S69*100)</f>
        <v>0</v>
      </c>
      <c r="AO69" s="562">
        <f t="shared" si="10"/>
        <v>0</v>
      </c>
      <c r="AP69" s="562">
        <f t="shared" si="10"/>
        <v>0</v>
      </c>
      <c r="AQ69" s="562">
        <f t="shared" si="10"/>
        <v>0</v>
      </c>
      <c r="AR69" s="562">
        <f t="shared" si="10"/>
        <v>0</v>
      </c>
      <c r="AS69" s="562">
        <f t="shared" si="10"/>
        <v>0</v>
      </c>
      <c r="AT69" s="562">
        <f t="shared" si="10"/>
        <v>0</v>
      </c>
      <c r="AU69" s="562">
        <f t="shared" si="10"/>
        <v>0</v>
      </c>
      <c r="AV69" s="562">
        <f t="shared" si="10"/>
        <v>0</v>
      </c>
      <c r="AW69" s="562">
        <f t="shared" si="10"/>
        <v>0</v>
      </c>
      <c r="AX69" s="548"/>
      <c r="AY69" s="548"/>
      <c r="AZ69" s="548"/>
    </row>
    <row r="70" spans="1:53" ht="11.25" hidden="1" outlineLevel="1" x14ac:dyDescent="0.25">
      <c r="A70" s="540" t="str">
        <f t="shared" si="7"/>
        <v>1</v>
      </c>
      <c r="B70" s="520" t="s">
        <v>739</v>
      </c>
      <c r="D70" s="520" t="s">
        <v>740</v>
      </c>
      <c r="L70" s="551" t="s">
        <v>741</v>
      </c>
      <c r="M70" s="560" t="s">
        <v>742</v>
      </c>
      <c r="N70" s="553" t="s">
        <v>123</v>
      </c>
      <c r="O70" s="562">
        <f>SUMIFS([14]Покупка!O$15:O$54,[14]Покупка!$A$15:$A$54,$A70,[14]Покупка!$M$15:$M$54,$B70)</f>
        <v>0</v>
      </c>
      <c r="P70" s="562">
        <f>SUMIFS([14]Покупка!P$15:P$54,[14]Покупка!$A$15:$A$54,$A70,[14]Покупка!$M$15:$M$54,$B70)</f>
        <v>0</v>
      </c>
      <c r="Q70" s="562">
        <f>SUMIFS([14]Покупка!Q$15:Q$54,[14]Покупка!$A$15:$A$54,$A70,[14]Покупка!$M$15:$M$54,$B70)</f>
        <v>0</v>
      </c>
      <c r="R70" s="562">
        <f t="shared" si="8"/>
        <v>0</v>
      </c>
      <c r="S70" s="562">
        <f>SUMIFS([14]Покупка!R$15:R$54,[14]Покупка!$A$15:$A$54,$A70,[14]Покупка!$M$15:$M$54,$B70)</f>
        <v>0</v>
      </c>
      <c r="T70" s="562">
        <f>SUMIFS([14]Покупка!S$15:S$54,[14]Покупка!$A$15:$A$54,$A70,[14]Покупка!$M$15:$M$54,$B70)</f>
        <v>0</v>
      </c>
      <c r="U70" s="562">
        <f>SUMIFS([14]Покупка!T$15:T$54,[14]Покупка!$A$15:$A$54,$A70,[14]Покупка!$M$15:$M$54,$B70)</f>
        <v>0</v>
      </c>
      <c r="V70" s="562">
        <f>SUMIFS([14]Покупка!U$15:U$54,[14]Покупка!$A$15:$A$54,$A70,[14]Покупка!$M$15:$M$54,$B70)</f>
        <v>0</v>
      </c>
      <c r="W70" s="562">
        <f>SUMIFS([14]Покупка!V$15:V$54,[14]Покупка!$A$15:$A$54,$A70,[14]Покупка!$M$15:$M$54,$B70)</f>
        <v>0</v>
      </c>
      <c r="X70" s="562">
        <f>SUMIFS([14]Покупка!W$15:W$54,[14]Покупка!$A$15:$A$54,$A70,[14]Покупка!$M$15:$M$54,$B70)</f>
        <v>0</v>
      </c>
      <c r="Y70" s="562">
        <f>SUMIFS([14]Покупка!X$15:X$54,[14]Покупка!$A$15:$A$54,$A70,[14]Покупка!$M$15:$M$54,$B70)</f>
        <v>0</v>
      </c>
      <c r="Z70" s="562">
        <f>SUMIFS([14]Покупка!Y$15:Y$54,[14]Покупка!$A$15:$A$54,$A70,[14]Покупка!$M$15:$M$54,$B70)</f>
        <v>0</v>
      </c>
      <c r="AA70" s="562">
        <f>SUMIFS([14]Покупка!Z$15:Z$54,[14]Покупка!$A$15:$A$54,$A70,[14]Покупка!$M$15:$M$54,$B70)</f>
        <v>0</v>
      </c>
      <c r="AB70" s="562">
        <f>SUMIFS([14]Покупка!AA$15:AA$54,[14]Покупка!$A$15:$A$54,$A70,[14]Покупка!$M$15:$M$54,$B70)</f>
        <v>0</v>
      </c>
      <c r="AC70" s="562">
        <f>SUMIFS([14]Покупка!AB$15:AB$54,[14]Покупка!$A$15:$A$54,$A70,[14]Покупка!$M$15:$M$54,$B70)</f>
        <v>0</v>
      </c>
      <c r="AD70" s="562">
        <f>SUMIFS([14]Покупка!AC$15:AC$54,[14]Покупка!$A$15:$A$54,$A70,[14]Покупка!$M$15:$M$54,$B70)</f>
        <v>0</v>
      </c>
      <c r="AE70" s="562">
        <f>SUMIFS([14]Покупка!AD$15:AD$54,[14]Покупка!$A$15:$A$54,$A70,[14]Покупка!$M$15:$M$54,$B70)</f>
        <v>0</v>
      </c>
      <c r="AF70" s="562">
        <f>SUMIFS([14]Покупка!AE$15:AE$54,[14]Покупка!$A$15:$A$54,$A70,[14]Покупка!$M$15:$M$54,$B70)</f>
        <v>0</v>
      </c>
      <c r="AG70" s="562">
        <f>SUMIFS([14]Покупка!AF$15:AF$54,[14]Покупка!$A$15:$A$54,$A70,[14]Покупка!$M$15:$M$54,$B70)</f>
        <v>0</v>
      </c>
      <c r="AH70" s="562">
        <f>SUMIFS([14]Покупка!AG$15:AG$54,[14]Покупка!$A$15:$A$54,$A70,[14]Покупка!$M$15:$M$54,$B70)</f>
        <v>0</v>
      </c>
      <c r="AI70" s="562">
        <f>SUMIFS([14]Покупка!AH$15:AH$54,[14]Покупка!$A$15:$A$54,$A70,[14]Покупка!$M$15:$M$54,$B70)</f>
        <v>0</v>
      </c>
      <c r="AJ70" s="562">
        <f>SUMIFS([14]Покупка!AI$15:AI$54,[14]Покупка!$A$15:$A$54,$A70,[14]Покупка!$M$15:$M$54,$B70)</f>
        <v>0</v>
      </c>
      <c r="AK70" s="562">
        <f>SUMIFS([14]Покупка!AJ$15:AJ$54,[14]Покупка!$A$15:$A$54,$A70,[14]Покупка!$M$15:$M$54,$B70)</f>
        <v>0</v>
      </c>
      <c r="AL70" s="562">
        <f>SUMIFS([14]Покупка!AK$15:AK$54,[14]Покупка!$A$15:$A$54,$A70,[14]Покупка!$M$15:$M$54,$B70)</f>
        <v>0</v>
      </c>
      <c r="AM70" s="562">
        <f>SUMIFS([14]Покупка!AL$15:AL$54,[14]Покупка!$A$15:$A$54,$A70,[14]Покупка!$M$15:$M$54,$B70)</f>
        <v>0</v>
      </c>
      <c r="AN70" s="562">
        <f t="shared" si="12"/>
        <v>0</v>
      </c>
      <c r="AO70" s="562">
        <f t="shared" si="10"/>
        <v>0</v>
      </c>
      <c r="AP70" s="562">
        <f t="shared" si="10"/>
        <v>0</v>
      </c>
      <c r="AQ70" s="562">
        <f t="shared" si="10"/>
        <v>0</v>
      </c>
      <c r="AR70" s="562">
        <f t="shared" si="10"/>
        <v>0</v>
      </c>
      <c r="AS70" s="562">
        <f t="shared" si="10"/>
        <v>0</v>
      </c>
      <c r="AT70" s="562">
        <f t="shared" si="10"/>
        <v>0</v>
      </c>
      <c r="AU70" s="562">
        <f t="shared" si="10"/>
        <v>0</v>
      </c>
      <c r="AV70" s="562">
        <f t="shared" si="10"/>
        <v>0</v>
      </c>
      <c r="AW70" s="562">
        <f t="shared" si="10"/>
        <v>0</v>
      </c>
      <c r="AX70" s="548"/>
      <c r="AY70" s="548"/>
      <c r="AZ70" s="548"/>
    </row>
    <row r="71" spans="1:53" ht="11.25" hidden="1" outlineLevel="1" x14ac:dyDescent="0.25">
      <c r="A71" s="540" t="str">
        <f t="shared" si="7"/>
        <v>1</v>
      </c>
      <c r="B71" s="520" t="s">
        <v>743</v>
      </c>
      <c r="D71" s="520" t="s">
        <v>744</v>
      </c>
      <c r="L71" s="551" t="s">
        <v>745</v>
      </c>
      <c r="M71" s="560" t="s">
        <v>746</v>
      </c>
      <c r="N71" s="553" t="s">
        <v>123</v>
      </c>
      <c r="O71" s="562">
        <f>SUMIFS([14]Покупка!O$15:O$54,[14]Покупка!$A$15:$A$54,$A71,[14]Покупка!$M$15:$M$54,$B71)</f>
        <v>0</v>
      </c>
      <c r="P71" s="562">
        <f>SUMIFS([14]Покупка!P$15:P$54,[14]Покупка!$A$15:$A$54,$A71,[14]Покупка!$M$15:$M$54,$B71)</f>
        <v>0</v>
      </c>
      <c r="Q71" s="562">
        <f>SUMIFS([14]Покупка!Q$15:Q$54,[14]Покупка!$A$15:$A$54,$A71,[14]Покупка!$M$15:$M$54,$B71)</f>
        <v>0</v>
      </c>
      <c r="R71" s="562">
        <f t="shared" si="8"/>
        <v>0</v>
      </c>
      <c r="S71" s="562">
        <f>SUMIFS([14]Покупка!R$15:R$54,[14]Покупка!$A$15:$A$54,$A71,[14]Покупка!$M$15:$M$54,$B71)</f>
        <v>0</v>
      </c>
      <c r="T71" s="562">
        <f>SUMIFS([14]Покупка!S$15:S$54,[14]Покупка!$A$15:$A$54,$A71,[14]Покупка!$M$15:$M$54,$B71)</f>
        <v>0</v>
      </c>
      <c r="U71" s="562">
        <f>SUMIFS([14]Покупка!T$15:T$54,[14]Покупка!$A$15:$A$54,$A71,[14]Покупка!$M$15:$M$54,$B71)</f>
        <v>0</v>
      </c>
      <c r="V71" s="562">
        <f>SUMIFS([14]Покупка!U$15:U$54,[14]Покупка!$A$15:$A$54,$A71,[14]Покупка!$M$15:$M$54,$B71)</f>
        <v>0</v>
      </c>
      <c r="W71" s="562">
        <f>SUMIFS([14]Покупка!V$15:V$54,[14]Покупка!$A$15:$A$54,$A71,[14]Покупка!$M$15:$M$54,$B71)</f>
        <v>0</v>
      </c>
      <c r="X71" s="562">
        <f>SUMIFS([14]Покупка!W$15:W$54,[14]Покупка!$A$15:$A$54,$A71,[14]Покупка!$M$15:$M$54,$B71)</f>
        <v>0</v>
      </c>
      <c r="Y71" s="562">
        <f>SUMIFS([14]Покупка!X$15:X$54,[14]Покупка!$A$15:$A$54,$A71,[14]Покупка!$M$15:$M$54,$B71)</f>
        <v>0</v>
      </c>
      <c r="Z71" s="562">
        <f>SUMIFS([14]Покупка!Y$15:Y$54,[14]Покупка!$A$15:$A$54,$A71,[14]Покупка!$M$15:$M$54,$B71)</f>
        <v>0</v>
      </c>
      <c r="AA71" s="562">
        <f>SUMIFS([14]Покупка!Z$15:Z$54,[14]Покупка!$A$15:$A$54,$A71,[14]Покупка!$M$15:$M$54,$B71)</f>
        <v>0</v>
      </c>
      <c r="AB71" s="562">
        <f>SUMIFS([14]Покупка!AA$15:AA$54,[14]Покупка!$A$15:$A$54,$A71,[14]Покупка!$M$15:$M$54,$B71)</f>
        <v>0</v>
      </c>
      <c r="AC71" s="562">
        <f>SUMIFS([14]Покупка!AB$15:AB$54,[14]Покупка!$A$15:$A$54,$A71,[14]Покупка!$M$15:$M$54,$B71)</f>
        <v>0</v>
      </c>
      <c r="AD71" s="562">
        <f>SUMIFS([14]Покупка!AC$15:AC$54,[14]Покупка!$A$15:$A$54,$A71,[14]Покупка!$M$15:$M$54,$B71)</f>
        <v>0</v>
      </c>
      <c r="AE71" s="562">
        <f>SUMIFS([14]Покупка!AD$15:AD$54,[14]Покупка!$A$15:$A$54,$A71,[14]Покупка!$M$15:$M$54,$B71)</f>
        <v>0</v>
      </c>
      <c r="AF71" s="562">
        <f>SUMIFS([14]Покупка!AE$15:AE$54,[14]Покупка!$A$15:$A$54,$A71,[14]Покупка!$M$15:$M$54,$B71)</f>
        <v>0</v>
      </c>
      <c r="AG71" s="562">
        <f>SUMIFS([14]Покупка!AF$15:AF$54,[14]Покупка!$A$15:$A$54,$A71,[14]Покупка!$M$15:$M$54,$B71)</f>
        <v>0</v>
      </c>
      <c r="AH71" s="562">
        <f>SUMIFS([14]Покупка!AG$15:AG$54,[14]Покупка!$A$15:$A$54,$A71,[14]Покупка!$M$15:$M$54,$B71)</f>
        <v>0</v>
      </c>
      <c r="AI71" s="562">
        <f>SUMIFS([14]Покупка!AH$15:AH$54,[14]Покупка!$A$15:$A$54,$A71,[14]Покупка!$M$15:$M$54,$B71)</f>
        <v>0</v>
      </c>
      <c r="AJ71" s="562">
        <f>SUMIFS([14]Покупка!AI$15:AI$54,[14]Покупка!$A$15:$A$54,$A71,[14]Покупка!$M$15:$M$54,$B71)</f>
        <v>0</v>
      </c>
      <c r="AK71" s="562">
        <f>SUMIFS([14]Покупка!AJ$15:AJ$54,[14]Покупка!$A$15:$A$54,$A71,[14]Покупка!$M$15:$M$54,$B71)</f>
        <v>0</v>
      </c>
      <c r="AL71" s="562">
        <f>SUMIFS([14]Покупка!AK$15:AK$54,[14]Покупка!$A$15:$A$54,$A71,[14]Покупка!$M$15:$M$54,$B71)</f>
        <v>0</v>
      </c>
      <c r="AM71" s="562">
        <f>SUMIFS([14]Покупка!AL$15:AL$54,[14]Покупка!$A$15:$A$54,$A71,[14]Покупка!$M$15:$M$54,$B71)</f>
        <v>0</v>
      </c>
      <c r="AN71" s="562">
        <f t="shared" si="12"/>
        <v>0</v>
      </c>
      <c r="AO71" s="562">
        <f t="shared" si="10"/>
        <v>0</v>
      </c>
      <c r="AP71" s="562">
        <f t="shared" si="10"/>
        <v>0</v>
      </c>
      <c r="AQ71" s="562">
        <f t="shared" si="10"/>
        <v>0</v>
      </c>
      <c r="AR71" s="562">
        <f t="shared" si="10"/>
        <v>0</v>
      </c>
      <c r="AS71" s="562">
        <f t="shared" si="10"/>
        <v>0</v>
      </c>
      <c r="AT71" s="562">
        <f t="shared" si="10"/>
        <v>0</v>
      </c>
      <c r="AU71" s="562">
        <f t="shared" si="10"/>
        <v>0</v>
      </c>
      <c r="AV71" s="562">
        <f t="shared" si="10"/>
        <v>0</v>
      </c>
      <c r="AW71" s="562">
        <f t="shared" si="10"/>
        <v>0</v>
      </c>
      <c r="AX71" s="548"/>
      <c r="AY71" s="548"/>
      <c r="AZ71" s="548"/>
    </row>
    <row r="72" spans="1:53" ht="11.25" hidden="1" outlineLevel="1" x14ac:dyDescent="0.25">
      <c r="A72" s="540" t="str">
        <f t="shared" si="7"/>
        <v>1</v>
      </c>
      <c r="B72" s="520" t="s">
        <v>747</v>
      </c>
      <c r="D72" s="520" t="s">
        <v>748</v>
      </c>
      <c r="L72" s="551" t="s">
        <v>749</v>
      </c>
      <c r="M72" s="560" t="s">
        <v>750</v>
      </c>
      <c r="N72" s="553" t="s">
        <v>123</v>
      </c>
      <c r="O72" s="562">
        <f>SUMIFS([14]Покупка!O$15:O$54,[14]Покупка!$A$15:$A$54,$A72,[14]Покупка!$M$15:$M$54,$B72)</f>
        <v>0</v>
      </c>
      <c r="P72" s="562">
        <f>SUMIFS([14]Покупка!P$15:P$54,[14]Покупка!$A$15:$A$54,$A72,[14]Покупка!$M$15:$M$54,$B72)</f>
        <v>0</v>
      </c>
      <c r="Q72" s="562">
        <f>SUMIFS([14]Покупка!Q$15:Q$54,[14]Покупка!$A$15:$A$54,$A72,[14]Покупка!$M$15:$M$54,$B72)</f>
        <v>0</v>
      </c>
      <c r="R72" s="562">
        <f t="shared" si="8"/>
        <v>0</v>
      </c>
      <c r="S72" s="562">
        <f>SUMIFS([14]Покупка!R$15:R$54,[14]Покупка!$A$15:$A$54,$A72,[14]Покупка!$M$15:$M$54,$B72)</f>
        <v>0</v>
      </c>
      <c r="T72" s="562">
        <f>SUMIFS([14]Покупка!S$15:S$54,[14]Покупка!$A$15:$A$54,$A72,[14]Покупка!$M$15:$M$54,$B72)</f>
        <v>0</v>
      </c>
      <c r="U72" s="562">
        <f>SUMIFS([14]Покупка!T$15:T$54,[14]Покупка!$A$15:$A$54,$A72,[14]Покупка!$M$15:$M$54,$B72)</f>
        <v>0</v>
      </c>
      <c r="V72" s="562">
        <f>SUMIFS([14]Покупка!U$15:U$54,[14]Покупка!$A$15:$A$54,$A72,[14]Покупка!$M$15:$M$54,$B72)</f>
        <v>0</v>
      </c>
      <c r="W72" s="562">
        <f>SUMIFS([14]Покупка!V$15:V$54,[14]Покупка!$A$15:$A$54,$A72,[14]Покупка!$M$15:$M$54,$B72)</f>
        <v>0</v>
      </c>
      <c r="X72" s="562">
        <f>SUMIFS([14]Покупка!W$15:W$54,[14]Покупка!$A$15:$A$54,$A72,[14]Покупка!$M$15:$M$54,$B72)</f>
        <v>0</v>
      </c>
      <c r="Y72" s="562">
        <f>SUMIFS([14]Покупка!X$15:X$54,[14]Покупка!$A$15:$A$54,$A72,[14]Покупка!$M$15:$M$54,$B72)</f>
        <v>0</v>
      </c>
      <c r="Z72" s="562">
        <f>SUMIFS([14]Покупка!Y$15:Y$54,[14]Покупка!$A$15:$A$54,$A72,[14]Покупка!$M$15:$M$54,$B72)</f>
        <v>0</v>
      </c>
      <c r="AA72" s="562">
        <f>SUMIFS([14]Покупка!Z$15:Z$54,[14]Покупка!$A$15:$A$54,$A72,[14]Покупка!$M$15:$M$54,$B72)</f>
        <v>0</v>
      </c>
      <c r="AB72" s="562">
        <f>SUMIFS([14]Покупка!AA$15:AA$54,[14]Покупка!$A$15:$A$54,$A72,[14]Покупка!$M$15:$M$54,$B72)</f>
        <v>0</v>
      </c>
      <c r="AC72" s="562">
        <f>SUMIFS([14]Покупка!AB$15:AB$54,[14]Покупка!$A$15:$A$54,$A72,[14]Покупка!$M$15:$M$54,$B72)</f>
        <v>0</v>
      </c>
      <c r="AD72" s="562">
        <f>SUMIFS([14]Покупка!AC$15:AC$54,[14]Покупка!$A$15:$A$54,$A72,[14]Покупка!$M$15:$M$54,$B72)</f>
        <v>0</v>
      </c>
      <c r="AE72" s="562">
        <f>SUMIFS([14]Покупка!AD$15:AD$54,[14]Покупка!$A$15:$A$54,$A72,[14]Покупка!$M$15:$M$54,$B72)</f>
        <v>0</v>
      </c>
      <c r="AF72" s="562">
        <f>SUMIFS([14]Покупка!AE$15:AE$54,[14]Покупка!$A$15:$A$54,$A72,[14]Покупка!$M$15:$M$54,$B72)</f>
        <v>0</v>
      </c>
      <c r="AG72" s="562">
        <f>SUMIFS([14]Покупка!AF$15:AF$54,[14]Покупка!$A$15:$A$54,$A72,[14]Покупка!$M$15:$M$54,$B72)</f>
        <v>0</v>
      </c>
      <c r="AH72" s="562">
        <f>SUMIFS([14]Покупка!AG$15:AG$54,[14]Покупка!$A$15:$A$54,$A72,[14]Покупка!$M$15:$M$54,$B72)</f>
        <v>0</v>
      </c>
      <c r="AI72" s="562">
        <f>SUMIFS([14]Покупка!AH$15:AH$54,[14]Покупка!$A$15:$A$54,$A72,[14]Покупка!$M$15:$M$54,$B72)</f>
        <v>0</v>
      </c>
      <c r="AJ72" s="562">
        <f>SUMIFS([14]Покупка!AI$15:AI$54,[14]Покупка!$A$15:$A$54,$A72,[14]Покупка!$M$15:$M$54,$B72)</f>
        <v>0</v>
      </c>
      <c r="AK72" s="562">
        <f>SUMIFS([14]Покупка!AJ$15:AJ$54,[14]Покупка!$A$15:$A$54,$A72,[14]Покупка!$M$15:$M$54,$B72)</f>
        <v>0</v>
      </c>
      <c r="AL72" s="562">
        <f>SUMIFS([14]Покупка!AK$15:AK$54,[14]Покупка!$A$15:$A$54,$A72,[14]Покупка!$M$15:$M$54,$B72)</f>
        <v>0</v>
      </c>
      <c r="AM72" s="562">
        <f>SUMIFS([14]Покупка!AL$15:AL$54,[14]Покупка!$A$15:$A$54,$A72,[14]Покупка!$M$15:$M$54,$B72)</f>
        <v>0</v>
      </c>
      <c r="AN72" s="562">
        <f t="shared" si="12"/>
        <v>0</v>
      </c>
      <c r="AO72" s="562">
        <f t="shared" si="10"/>
        <v>0</v>
      </c>
      <c r="AP72" s="562">
        <f t="shared" si="10"/>
        <v>0</v>
      </c>
      <c r="AQ72" s="562">
        <f t="shared" si="10"/>
        <v>0</v>
      </c>
      <c r="AR72" s="562">
        <f t="shared" si="10"/>
        <v>0</v>
      </c>
      <c r="AS72" s="562">
        <f t="shared" si="10"/>
        <v>0</v>
      </c>
      <c r="AT72" s="562">
        <f t="shared" si="10"/>
        <v>0</v>
      </c>
      <c r="AU72" s="562">
        <f t="shared" si="10"/>
        <v>0</v>
      </c>
      <c r="AV72" s="562">
        <f t="shared" si="10"/>
        <v>0</v>
      </c>
      <c r="AW72" s="562">
        <f t="shared" si="10"/>
        <v>0</v>
      </c>
      <c r="AX72" s="548"/>
      <c r="AY72" s="548"/>
      <c r="AZ72" s="548"/>
    </row>
    <row r="73" spans="1:53" ht="11.25" hidden="1" outlineLevel="1" x14ac:dyDescent="0.25">
      <c r="A73" s="540" t="str">
        <f t="shared" si="7"/>
        <v>1</v>
      </c>
      <c r="B73" s="520" t="s">
        <v>751</v>
      </c>
      <c r="D73" s="520" t="s">
        <v>752</v>
      </c>
      <c r="L73" s="551" t="s">
        <v>753</v>
      </c>
      <c r="M73" s="560" t="s">
        <v>154</v>
      </c>
      <c r="N73" s="553" t="s">
        <v>123</v>
      </c>
      <c r="O73" s="562">
        <f>SUMIFS([14]Покупка!O$15:O$54,[14]Покупка!$A$15:$A$54,$A73,[14]Покупка!$M$15:$M$54,$B73)</f>
        <v>0</v>
      </c>
      <c r="P73" s="562">
        <f>SUMIFS([14]Покупка!P$15:P$54,[14]Покупка!$A$15:$A$54,$A73,[14]Покупка!$M$15:$M$54,$B73)</f>
        <v>0</v>
      </c>
      <c r="Q73" s="562">
        <f>SUMIFS([14]Покупка!Q$15:Q$54,[14]Покупка!$A$15:$A$54,$A73,[14]Покупка!$M$15:$M$54,$B73)</f>
        <v>0</v>
      </c>
      <c r="R73" s="562">
        <f t="shared" si="8"/>
        <v>0</v>
      </c>
      <c r="S73" s="562">
        <f>SUMIFS([14]Покупка!R$15:R$54,[14]Покупка!$A$15:$A$54,$A73,[14]Покупка!$M$15:$M$54,$B73)</f>
        <v>0</v>
      </c>
      <c r="T73" s="562">
        <f>SUMIFS([14]Покупка!S$15:S$54,[14]Покупка!$A$15:$A$54,$A73,[14]Покупка!$M$15:$M$54,$B73)</f>
        <v>0</v>
      </c>
      <c r="U73" s="562">
        <f>SUMIFS([14]Покупка!T$15:T$54,[14]Покупка!$A$15:$A$54,$A73,[14]Покупка!$M$15:$M$54,$B73)</f>
        <v>0</v>
      </c>
      <c r="V73" s="562">
        <f>SUMIFS([14]Покупка!U$15:U$54,[14]Покупка!$A$15:$A$54,$A73,[14]Покупка!$M$15:$M$54,$B73)</f>
        <v>0</v>
      </c>
      <c r="W73" s="562">
        <f>SUMIFS([14]Покупка!V$15:V$54,[14]Покупка!$A$15:$A$54,$A73,[14]Покупка!$M$15:$M$54,$B73)</f>
        <v>0</v>
      </c>
      <c r="X73" s="562">
        <f>SUMIFS([14]Покупка!W$15:W$54,[14]Покупка!$A$15:$A$54,$A73,[14]Покупка!$M$15:$M$54,$B73)</f>
        <v>0</v>
      </c>
      <c r="Y73" s="562">
        <f>SUMIFS([14]Покупка!X$15:X$54,[14]Покупка!$A$15:$A$54,$A73,[14]Покупка!$M$15:$M$54,$B73)</f>
        <v>0</v>
      </c>
      <c r="Z73" s="562">
        <f>SUMIFS([14]Покупка!Y$15:Y$54,[14]Покупка!$A$15:$A$54,$A73,[14]Покупка!$M$15:$M$54,$B73)</f>
        <v>0</v>
      </c>
      <c r="AA73" s="562">
        <f>SUMIFS([14]Покупка!Z$15:Z$54,[14]Покупка!$A$15:$A$54,$A73,[14]Покупка!$M$15:$M$54,$B73)</f>
        <v>0</v>
      </c>
      <c r="AB73" s="562">
        <f>SUMIFS([14]Покупка!AA$15:AA$54,[14]Покупка!$A$15:$A$54,$A73,[14]Покупка!$M$15:$M$54,$B73)</f>
        <v>0</v>
      </c>
      <c r="AC73" s="562">
        <f>SUMIFS([14]Покупка!AB$15:AB$54,[14]Покупка!$A$15:$A$54,$A73,[14]Покупка!$M$15:$M$54,$B73)</f>
        <v>0</v>
      </c>
      <c r="AD73" s="562">
        <f>SUMIFS([14]Покупка!AC$15:AC$54,[14]Покупка!$A$15:$A$54,$A73,[14]Покупка!$M$15:$M$54,$B73)</f>
        <v>0</v>
      </c>
      <c r="AE73" s="562">
        <f>SUMIFS([14]Покупка!AD$15:AD$54,[14]Покупка!$A$15:$A$54,$A73,[14]Покупка!$M$15:$M$54,$B73)</f>
        <v>0</v>
      </c>
      <c r="AF73" s="562">
        <f>SUMIFS([14]Покупка!AE$15:AE$54,[14]Покупка!$A$15:$A$54,$A73,[14]Покупка!$M$15:$M$54,$B73)</f>
        <v>0</v>
      </c>
      <c r="AG73" s="562">
        <f>SUMIFS([14]Покупка!AF$15:AF$54,[14]Покупка!$A$15:$A$54,$A73,[14]Покупка!$M$15:$M$54,$B73)</f>
        <v>0</v>
      </c>
      <c r="AH73" s="562">
        <f>SUMIFS([14]Покупка!AG$15:AG$54,[14]Покупка!$A$15:$A$54,$A73,[14]Покупка!$M$15:$M$54,$B73)</f>
        <v>0</v>
      </c>
      <c r="AI73" s="562">
        <f>SUMIFS([14]Покупка!AH$15:AH$54,[14]Покупка!$A$15:$A$54,$A73,[14]Покупка!$M$15:$M$54,$B73)</f>
        <v>0</v>
      </c>
      <c r="AJ73" s="562">
        <f>SUMIFS([14]Покупка!AI$15:AI$54,[14]Покупка!$A$15:$A$54,$A73,[14]Покупка!$M$15:$M$54,$B73)</f>
        <v>0</v>
      </c>
      <c r="AK73" s="562">
        <f>SUMIFS([14]Покупка!AJ$15:AJ$54,[14]Покупка!$A$15:$A$54,$A73,[14]Покупка!$M$15:$M$54,$B73)</f>
        <v>0</v>
      </c>
      <c r="AL73" s="562">
        <f>SUMIFS([14]Покупка!AK$15:AK$54,[14]Покупка!$A$15:$A$54,$A73,[14]Покупка!$M$15:$M$54,$B73)</f>
        <v>0</v>
      </c>
      <c r="AM73" s="562">
        <f>SUMIFS([14]Покупка!AL$15:AL$54,[14]Покупка!$A$15:$A$54,$A73,[14]Покупка!$M$15:$M$54,$B73)</f>
        <v>0</v>
      </c>
      <c r="AN73" s="562">
        <f t="shared" si="12"/>
        <v>0</v>
      </c>
      <c r="AO73" s="562">
        <f t="shared" si="10"/>
        <v>0</v>
      </c>
      <c r="AP73" s="562">
        <f t="shared" si="10"/>
        <v>0</v>
      </c>
      <c r="AQ73" s="562">
        <f t="shared" si="10"/>
        <v>0</v>
      </c>
      <c r="AR73" s="562">
        <f t="shared" si="10"/>
        <v>0</v>
      </c>
      <c r="AS73" s="562">
        <f t="shared" si="10"/>
        <v>0</v>
      </c>
      <c r="AT73" s="562">
        <f t="shared" si="10"/>
        <v>0</v>
      </c>
      <c r="AU73" s="562">
        <f t="shared" si="10"/>
        <v>0</v>
      </c>
      <c r="AV73" s="562">
        <f t="shared" si="10"/>
        <v>0</v>
      </c>
      <c r="AW73" s="562">
        <f t="shared" si="10"/>
        <v>0</v>
      </c>
      <c r="AX73" s="548"/>
      <c r="AY73" s="548"/>
      <c r="AZ73" s="548"/>
    </row>
    <row r="74" spans="1:53" ht="11.25" hidden="1" outlineLevel="1" x14ac:dyDescent="0.25">
      <c r="A74" s="540" t="str">
        <f t="shared" si="7"/>
        <v>1</v>
      </c>
      <c r="D74" s="520" t="s">
        <v>754</v>
      </c>
      <c r="L74" s="551" t="s">
        <v>755</v>
      </c>
      <c r="M74" s="560" t="s">
        <v>156</v>
      </c>
      <c r="N74" s="553" t="s">
        <v>123</v>
      </c>
      <c r="O74" s="566"/>
      <c r="P74" s="566"/>
      <c r="Q74" s="566"/>
      <c r="R74" s="562">
        <f t="shared" si="8"/>
        <v>0</v>
      </c>
      <c r="S74" s="566"/>
      <c r="T74" s="566"/>
      <c r="U74" s="566"/>
      <c r="V74" s="566"/>
      <c r="W74" s="566"/>
      <c r="X74" s="566"/>
      <c r="Y74" s="566"/>
      <c r="Z74" s="566"/>
      <c r="AA74" s="566"/>
      <c r="AB74" s="566"/>
      <c r="AC74" s="566"/>
      <c r="AD74" s="566"/>
      <c r="AE74" s="566"/>
      <c r="AF74" s="566"/>
      <c r="AG74" s="566"/>
      <c r="AH74" s="566"/>
      <c r="AI74" s="566"/>
      <c r="AJ74" s="566"/>
      <c r="AK74" s="566"/>
      <c r="AL74" s="566"/>
      <c r="AM74" s="566"/>
      <c r="AN74" s="562">
        <f t="shared" si="12"/>
        <v>0</v>
      </c>
      <c r="AO74" s="562">
        <f t="shared" si="10"/>
        <v>0</v>
      </c>
      <c r="AP74" s="562">
        <f t="shared" si="10"/>
        <v>0</v>
      </c>
      <c r="AQ74" s="562">
        <f t="shared" si="10"/>
        <v>0</v>
      </c>
      <c r="AR74" s="562">
        <f t="shared" si="10"/>
        <v>0</v>
      </c>
      <c r="AS74" s="562">
        <f t="shared" si="10"/>
        <v>0</v>
      </c>
      <c r="AT74" s="562">
        <f t="shared" si="10"/>
        <v>0</v>
      </c>
      <c r="AU74" s="562">
        <f t="shared" si="10"/>
        <v>0</v>
      </c>
      <c r="AV74" s="562">
        <f t="shared" si="10"/>
        <v>0</v>
      </c>
      <c r="AW74" s="562">
        <f t="shared" si="10"/>
        <v>0</v>
      </c>
      <c r="AX74" s="548"/>
      <c r="AY74" s="548"/>
      <c r="AZ74" s="548"/>
    </row>
    <row r="75" spans="1:53" ht="11.25" hidden="1" outlineLevel="1" x14ac:dyDescent="0.25">
      <c r="A75" s="540" t="str">
        <f t="shared" si="7"/>
        <v>1</v>
      </c>
      <c r="D75" s="520" t="s">
        <v>756</v>
      </c>
      <c r="L75" s="551" t="s">
        <v>757</v>
      </c>
      <c r="M75" s="560" t="s">
        <v>158</v>
      </c>
      <c r="N75" s="553" t="s">
        <v>123</v>
      </c>
      <c r="O75" s="566"/>
      <c r="P75" s="566"/>
      <c r="Q75" s="566"/>
      <c r="R75" s="562">
        <f t="shared" si="8"/>
        <v>0</v>
      </c>
      <c r="S75" s="566"/>
      <c r="T75" s="566"/>
      <c r="U75" s="566"/>
      <c r="V75" s="566"/>
      <c r="W75" s="566"/>
      <c r="X75" s="566"/>
      <c r="Y75" s="566"/>
      <c r="Z75" s="566"/>
      <c r="AA75" s="566"/>
      <c r="AB75" s="566"/>
      <c r="AC75" s="566"/>
      <c r="AD75" s="566"/>
      <c r="AE75" s="566"/>
      <c r="AF75" s="566"/>
      <c r="AG75" s="566"/>
      <c r="AH75" s="566"/>
      <c r="AI75" s="566"/>
      <c r="AJ75" s="566"/>
      <c r="AK75" s="566"/>
      <c r="AL75" s="566"/>
      <c r="AM75" s="566"/>
      <c r="AN75" s="562">
        <f t="shared" si="12"/>
        <v>0</v>
      </c>
      <c r="AO75" s="562">
        <f t="shared" si="10"/>
        <v>0</v>
      </c>
      <c r="AP75" s="562">
        <f t="shared" si="10"/>
        <v>0</v>
      </c>
      <c r="AQ75" s="562">
        <f t="shared" si="10"/>
        <v>0</v>
      </c>
      <c r="AR75" s="562">
        <f t="shared" si="10"/>
        <v>0</v>
      </c>
      <c r="AS75" s="562">
        <f t="shared" si="10"/>
        <v>0</v>
      </c>
      <c r="AT75" s="562">
        <f t="shared" si="10"/>
        <v>0</v>
      </c>
      <c r="AU75" s="562">
        <f t="shared" si="10"/>
        <v>0</v>
      </c>
      <c r="AV75" s="562">
        <f t="shared" si="10"/>
        <v>0</v>
      </c>
      <c r="AW75" s="562">
        <f t="shared" si="10"/>
        <v>0</v>
      </c>
      <c r="AX75" s="548"/>
      <c r="AY75" s="548"/>
      <c r="AZ75" s="548"/>
    </row>
    <row r="76" spans="1:53" ht="11.25" hidden="1" outlineLevel="1" x14ac:dyDescent="0.25">
      <c r="A76" s="540" t="str">
        <f t="shared" si="7"/>
        <v>1</v>
      </c>
      <c r="B76" s="520" t="s">
        <v>758</v>
      </c>
      <c r="D76" s="520" t="s">
        <v>759</v>
      </c>
      <c r="L76" s="551" t="s">
        <v>760</v>
      </c>
      <c r="M76" s="560" t="s">
        <v>160</v>
      </c>
      <c r="N76" s="553" t="s">
        <v>123</v>
      </c>
      <c r="O76" s="562">
        <f>SUMIFS([14]Покупка!O$15:O$54,[14]Покупка!$A$15:$A$54,$A76,[14]Покупка!$M$15:$M$54,$B76)</f>
        <v>0</v>
      </c>
      <c r="P76" s="562">
        <f>SUMIFS([14]Покупка!P$15:P$54,[14]Покупка!$A$15:$A$54,$A76,[14]Покупка!$M$15:$M$54,$B76)</f>
        <v>0</v>
      </c>
      <c r="Q76" s="562">
        <f>SUMIFS([14]Покупка!Q$15:Q$54,[14]Покупка!$A$15:$A$54,$A76,[14]Покупка!$M$15:$M$54,$B76)</f>
        <v>0</v>
      </c>
      <c r="R76" s="562">
        <f t="shared" si="8"/>
        <v>0</v>
      </c>
      <c r="S76" s="562">
        <f>SUMIFS([14]Покупка!R$15:R$54,[14]Покупка!$A$15:$A$54,$A76,[14]Покупка!$M$15:$M$54,$B76)</f>
        <v>0</v>
      </c>
      <c r="T76" s="562">
        <f>SUMIFS([14]Покупка!S$15:S$54,[14]Покупка!$A$15:$A$54,$A76,[14]Покупка!$M$15:$M$54,$B76)</f>
        <v>0</v>
      </c>
      <c r="U76" s="562">
        <f>SUMIFS([14]Покупка!T$15:T$54,[14]Покупка!$A$15:$A$54,$A76,[14]Покупка!$M$15:$M$54,$B76)</f>
        <v>0</v>
      </c>
      <c r="V76" s="562">
        <f>SUMIFS([14]Покупка!U$15:U$54,[14]Покупка!$A$15:$A$54,$A76,[14]Покупка!$M$15:$M$54,$B76)</f>
        <v>0</v>
      </c>
      <c r="W76" s="562">
        <f>SUMIFS([14]Покупка!V$15:V$54,[14]Покупка!$A$15:$A$54,$A76,[14]Покупка!$M$15:$M$54,$B76)</f>
        <v>0</v>
      </c>
      <c r="X76" s="562">
        <f>SUMIFS([14]Покупка!W$15:W$54,[14]Покупка!$A$15:$A$54,$A76,[14]Покупка!$M$15:$M$54,$B76)</f>
        <v>0</v>
      </c>
      <c r="Y76" s="562">
        <f>SUMIFS([14]Покупка!X$15:X$54,[14]Покупка!$A$15:$A$54,$A76,[14]Покупка!$M$15:$M$54,$B76)</f>
        <v>0</v>
      </c>
      <c r="Z76" s="562">
        <f>SUMIFS([14]Покупка!Y$15:Y$54,[14]Покупка!$A$15:$A$54,$A76,[14]Покупка!$M$15:$M$54,$B76)</f>
        <v>0</v>
      </c>
      <c r="AA76" s="562">
        <f>SUMIFS([14]Покупка!Z$15:Z$54,[14]Покупка!$A$15:$A$54,$A76,[14]Покупка!$M$15:$M$54,$B76)</f>
        <v>0</v>
      </c>
      <c r="AB76" s="562">
        <f>SUMIFS([14]Покупка!AA$15:AA$54,[14]Покупка!$A$15:$A$54,$A76,[14]Покупка!$M$15:$M$54,$B76)</f>
        <v>0</v>
      </c>
      <c r="AC76" s="562">
        <f>SUMIFS([14]Покупка!AB$15:AB$54,[14]Покупка!$A$15:$A$54,$A76,[14]Покупка!$M$15:$M$54,$B76)</f>
        <v>0</v>
      </c>
      <c r="AD76" s="562">
        <f>SUMIFS([14]Покупка!AC$15:AC$54,[14]Покупка!$A$15:$A$54,$A76,[14]Покупка!$M$15:$M$54,$B76)</f>
        <v>0</v>
      </c>
      <c r="AE76" s="562">
        <f>SUMIFS([14]Покупка!AD$15:AD$54,[14]Покупка!$A$15:$A$54,$A76,[14]Покупка!$M$15:$M$54,$B76)</f>
        <v>0</v>
      </c>
      <c r="AF76" s="562">
        <f>SUMIFS([14]Покупка!AE$15:AE$54,[14]Покупка!$A$15:$A$54,$A76,[14]Покупка!$M$15:$M$54,$B76)</f>
        <v>0</v>
      </c>
      <c r="AG76" s="562">
        <f>SUMIFS([14]Покупка!AF$15:AF$54,[14]Покупка!$A$15:$A$54,$A76,[14]Покупка!$M$15:$M$54,$B76)</f>
        <v>0</v>
      </c>
      <c r="AH76" s="562">
        <f>SUMIFS([14]Покупка!AG$15:AG$54,[14]Покупка!$A$15:$A$54,$A76,[14]Покупка!$M$15:$M$54,$B76)</f>
        <v>0</v>
      </c>
      <c r="AI76" s="562">
        <f>SUMIFS([14]Покупка!AH$15:AH$54,[14]Покупка!$A$15:$A$54,$A76,[14]Покупка!$M$15:$M$54,$B76)</f>
        <v>0</v>
      </c>
      <c r="AJ76" s="562">
        <f>SUMIFS([14]Покупка!AI$15:AI$54,[14]Покупка!$A$15:$A$54,$A76,[14]Покупка!$M$15:$M$54,$B76)</f>
        <v>0</v>
      </c>
      <c r="AK76" s="562">
        <f>SUMIFS([14]Покупка!AJ$15:AJ$54,[14]Покупка!$A$15:$A$54,$A76,[14]Покупка!$M$15:$M$54,$B76)</f>
        <v>0</v>
      </c>
      <c r="AL76" s="562">
        <f>SUMIFS([14]Покупка!AK$15:AK$54,[14]Покупка!$A$15:$A$54,$A76,[14]Покупка!$M$15:$M$54,$B76)</f>
        <v>0</v>
      </c>
      <c r="AM76" s="562">
        <f>SUMIFS([14]Покупка!AL$15:AL$54,[14]Покупка!$A$15:$A$54,$A76,[14]Покупка!$M$15:$M$54,$B76)</f>
        <v>0</v>
      </c>
      <c r="AN76" s="562">
        <f t="shared" si="12"/>
        <v>0</v>
      </c>
      <c r="AO76" s="562">
        <f t="shared" si="10"/>
        <v>0</v>
      </c>
      <c r="AP76" s="562">
        <f t="shared" si="10"/>
        <v>0</v>
      </c>
      <c r="AQ76" s="562">
        <f t="shared" si="10"/>
        <v>0</v>
      </c>
      <c r="AR76" s="562">
        <f t="shared" si="10"/>
        <v>0</v>
      </c>
      <c r="AS76" s="562">
        <f t="shared" si="10"/>
        <v>0</v>
      </c>
      <c r="AT76" s="562">
        <f t="shared" si="10"/>
        <v>0</v>
      </c>
      <c r="AU76" s="562">
        <f t="shared" si="10"/>
        <v>0</v>
      </c>
      <c r="AV76" s="562">
        <f t="shared" si="10"/>
        <v>0</v>
      </c>
      <c r="AW76" s="562">
        <f t="shared" si="10"/>
        <v>0</v>
      </c>
      <c r="AX76" s="548"/>
      <c r="AY76" s="548"/>
      <c r="AZ76" s="548"/>
    </row>
    <row r="77" spans="1:53" ht="11.25" hidden="1" outlineLevel="1" x14ac:dyDescent="0.25">
      <c r="A77" s="540" t="str">
        <f t="shared" si="7"/>
        <v>1</v>
      </c>
      <c r="B77" s="520" t="s">
        <v>761</v>
      </c>
      <c r="D77" s="520" t="s">
        <v>762</v>
      </c>
      <c r="L77" s="551" t="s">
        <v>763</v>
      </c>
      <c r="M77" s="560" t="s">
        <v>162</v>
      </c>
      <c r="N77" s="553" t="s">
        <v>123</v>
      </c>
      <c r="O77" s="562">
        <f>SUMIFS([14]Покупка!O$15:O$54,[14]Покупка!$A$15:$A$54,$A77,[14]Покупка!$M$15:$M$54,$B77)</f>
        <v>0</v>
      </c>
      <c r="P77" s="562">
        <f>SUMIFS([14]Покупка!P$15:P$54,[14]Покупка!$A$15:$A$54,$A77,[14]Покупка!$M$15:$M$54,$B77)</f>
        <v>0</v>
      </c>
      <c r="Q77" s="562">
        <f>SUMIFS([14]Покупка!Q$15:Q$54,[14]Покупка!$A$15:$A$54,$A77,[14]Покупка!$M$15:$M$54,$B77)</f>
        <v>0</v>
      </c>
      <c r="R77" s="562">
        <f t="shared" si="8"/>
        <v>0</v>
      </c>
      <c r="S77" s="562">
        <f>SUMIFS([14]Покупка!R$15:R$54,[14]Покупка!$A$15:$A$54,$A77,[14]Покупка!$M$15:$M$54,$B77)</f>
        <v>0</v>
      </c>
      <c r="T77" s="562">
        <f>SUMIFS([14]Покупка!S$15:S$54,[14]Покупка!$A$15:$A$54,$A77,[14]Покупка!$M$15:$M$54,$B77)</f>
        <v>0</v>
      </c>
      <c r="U77" s="562">
        <f>SUMIFS([14]Покупка!T$15:T$54,[14]Покупка!$A$15:$A$54,$A77,[14]Покупка!$M$15:$M$54,$B77)</f>
        <v>0</v>
      </c>
      <c r="V77" s="562">
        <f>SUMIFS([14]Покупка!U$15:U$54,[14]Покупка!$A$15:$A$54,$A77,[14]Покупка!$M$15:$M$54,$B77)</f>
        <v>0</v>
      </c>
      <c r="W77" s="562">
        <f>SUMIFS([14]Покупка!V$15:V$54,[14]Покупка!$A$15:$A$54,$A77,[14]Покупка!$M$15:$M$54,$B77)</f>
        <v>0</v>
      </c>
      <c r="X77" s="562">
        <f>SUMIFS([14]Покупка!W$15:W$54,[14]Покупка!$A$15:$A$54,$A77,[14]Покупка!$M$15:$M$54,$B77)</f>
        <v>0</v>
      </c>
      <c r="Y77" s="562">
        <f>SUMIFS([14]Покупка!X$15:X$54,[14]Покупка!$A$15:$A$54,$A77,[14]Покупка!$M$15:$M$54,$B77)</f>
        <v>0</v>
      </c>
      <c r="Z77" s="562">
        <f>SUMIFS([14]Покупка!Y$15:Y$54,[14]Покупка!$A$15:$A$54,$A77,[14]Покупка!$M$15:$M$54,$B77)</f>
        <v>0</v>
      </c>
      <c r="AA77" s="562">
        <f>SUMIFS([14]Покупка!Z$15:Z$54,[14]Покупка!$A$15:$A$54,$A77,[14]Покупка!$M$15:$M$54,$B77)</f>
        <v>0</v>
      </c>
      <c r="AB77" s="562">
        <f>SUMIFS([14]Покупка!AA$15:AA$54,[14]Покупка!$A$15:$A$54,$A77,[14]Покупка!$M$15:$M$54,$B77)</f>
        <v>0</v>
      </c>
      <c r="AC77" s="562">
        <f>SUMIFS([14]Покупка!AB$15:AB$54,[14]Покупка!$A$15:$A$54,$A77,[14]Покупка!$M$15:$M$54,$B77)</f>
        <v>0</v>
      </c>
      <c r="AD77" s="562">
        <f>SUMIFS([14]Покупка!AC$15:AC$54,[14]Покупка!$A$15:$A$54,$A77,[14]Покупка!$M$15:$M$54,$B77)</f>
        <v>0</v>
      </c>
      <c r="AE77" s="562">
        <f>SUMIFS([14]Покупка!AD$15:AD$54,[14]Покупка!$A$15:$A$54,$A77,[14]Покупка!$M$15:$M$54,$B77)</f>
        <v>0</v>
      </c>
      <c r="AF77" s="562">
        <f>SUMIFS([14]Покупка!AE$15:AE$54,[14]Покупка!$A$15:$A$54,$A77,[14]Покупка!$M$15:$M$54,$B77)</f>
        <v>0</v>
      </c>
      <c r="AG77" s="562">
        <f>SUMIFS([14]Покупка!AF$15:AF$54,[14]Покупка!$A$15:$A$54,$A77,[14]Покупка!$M$15:$M$54,$B77)</f>
        <v>0</v>
      </c>
      <c r="AH77" s="562">
        <f>SUMIFS([14]Покупка!AG$15:AG$54,[14]Покупка!$A$15:$A$54,$A77,[14]Покупка!$M$15:$M$54,$B77)</f>
        <v>0</v>
      </c>
      <c r="AI77" s="562">
        <f>SUMIFS([14]Покупка!AH$15:AH$54,[14]Покупка!$A$15:$A$54,$A77,[14]Покупка!$M$15:$M$54,$B77)</f>
        <v>0</v>
      </c>
      <c r="AJ77" s="562">
        <f>SUMIFS([14]Покупка!AI$15:AI$54,[14]Покупка!$A$15:$A$54,$A77,[14]Покупка!$M$15:$M$54,$B77)</f>
        <v>0</v>
      </c>
      <c r="AK77" s="562">
        <f>SUMIFS([14]Покупка!AJ$15:AJ$54,[14]Покупка!$A$15:$A$54,$A77,[14]Покупка!$M$15:$M$54,$B77)</f>
        <v>0</v>
      </c>
      <c r="AL77" s="562">
        <f>SUMIFS([14]Покупка!AK$15:AK$54,[14]Покупка!$A$15:$A$54,$A77,[14]Покупка!$M$15:$M$54,$B77)</f>
        <v>0</v>
      </c>
      <c r="AM77" s="562">
        <f>SUMIFS([14]Покупка!AL$15:AL$54,[14]Покупка!$A$15:$A$54,$A77,[14]Покупка!$M$15:$M$54,$B77)</f>
        <v>0</v>
      </c>
      <c r="AN77" s="562">
        <f t="shared" si="12"/>
        <v>0</v>
      </c>
      <c r="AO77" s="562">
        <f t="shared" si="10"/>
        <v>0</v>
      </c>
      <c r="AP77" s="562">
        <f t="shared" si="10"/>
        <v>0</v>
      </c>
      <c r="AQ77" s="562">
        <f t="shared" si="10"/>
        <v>0</v>
      </c>
      <c r="AR77" s="562">
        <f t="shared" si="10"/>
        <v>0</v>
      </c>
      <c r="AS77" s="562">
        <f t="shared" si="10"/>
        <v>0</v>
      </c>
      <c r="AT77" s="562">
        <f t="shared" si="10"/>
        <v>0</v>
      </c>
      <c r="AU77" s="562">
        <f t="shared" si="10"/>
        <v>0</v>
      </c>
      <c r="AV77" s="562">
        <f t="shared" si="10"/>
        <v>0</v>
      </c>
      <c r="AW77" s="562">
        <f t="shared" si="10"/>
        <v>0</v>
      </c>
      <c r="AX77" s="548"/>
      <c r="AY77" s="548"/>
      <c r="AZ77" s="548"/>
    </row>
    <row r="78" spans="1:53" ht="11.25" hidden="1" outlineLevel="1" x14ac:dyDescent="0.25">
      <c r="A78" s="540" t="str">
        <f t="shared" si="7"/>
        <v>1</v>
      </c>
      <c r="B78" s="520" t="s">
        <v>764</v>
      </c>
      <c r="D78" s="520" t="s">
        <v>765</v>
      </c>
      <c r="L78" s="551" t="s">
        <v>766</v>
      </c>
      <c r="M78" s="560" t="s">
        <v>767</v>
      </c>
      <c r="N78" s="553" t="s">
        <v>123</v>
      </c>
      <c r="O78" s="562">
        <f>SUMIFS([14]Покупка!O$15:O$54,[14]Покупка!$A$15:$A$54,$A78,[14]Покупка!$M$15:$M$54,$B78)</f>
        <v>0</v>
      </c>
      <c r="P78" s="562">
        <f>SUMIFS([14]Покупка!P$15:P$54,[14]Покупка!$A$15:$A$54,$A78,[14]Покупка!$M$15:$M$54,$B78)</f>
        <v>0</v>
      </c>
      <c r="Q78" s="562">
        <f>SUMIFS([14]Покупка!Q$15:Q$54,[14]Покупка!$A$15:$A$54,$A78,[14]Покупка!$M$15:$M$54,$B78)</f>
        <v>0</v>
      </c>
      <c r="R78" s="562">
        <f>Q78-P78</f>
        <v>0</v>
      </c>
      <c r="S78" s="562">
        <f>SUMIFS([14]Покупка!R$15:R$54,[14]Покупка!$A$15:$A$54,$A78,[14]Покупка!$M$15:$M$54,$B78)</f>
        <v>0</v>
      </c>
      <c r="T78" s="562">
        <f>SUMIFS([14]Покупка!S$15:S$54,[14]Покупка!$A$15:$A$54,$A78,[14]Покупка!$M$15:$M$54,$B78)</f>
        <v>0</v>
      </c>
      <c r="U78" s="562">
        <f>SUMIFS([14]Покупка!T$15:T$54,[14]Покупка!$A$15:$A$54,$A78,[14]Покупка!$M$15:$M$54,$B78)</f>
        <v>0</v>
      </c>
      <c r="V78" s="562">
        <f>SUMIFS([14]Покупка!U$15:U$54,[14]Покупка!$A$15:$A$54,$A78,[14]Покупка!$M$15:$M$54,$B78)</f>
        <v>0</v>
      </c>
      <c r="W78" s="562">
        <f>SUMIFS([14]Покупка!V$15:V$54,[14]Покупка!$A$15:$A$54,$A78,[14]Покупка!$M$15:$M$54,$B78)</f>
        <v>0</v>
      </c>
      <c r="X78" s="562">
        <f>SUMIFS([14]Покупка!W$15:W$54,[14]Покупка!$A$15:$A$54,$A78,[14]Покупка!$M$15:$M$54,$B78)</f>
        <v>0</v>
      </c>
      <c r="Y78" s="562">
        <f>SUMIFS([14]Покупка!X$15:X$54,[14]Покупка!$A$15:$A$54,$A78,[14]Покупка!$M$15:$M$54,$B78)</f>
        <v>0</v>
      </c>
      <c r="Z78" s="562">
        <f>SUMIFS([14]Покупка!Y$15:Y$54,[14]Покупка!$A$15:$A$54,$A78,[14]Покупка!$M$15:$M$54,$B78)</f>
        <v>0</v>
      </c>
      <c r="AA78" s="562">
        <f>SUMIFS([14]Покупка!Z$15:Z$54,[14]Покупка!$A$15:$A$54,$A78,[14]Покупка!$M$15:$M$54,$B78)</f>
        <v>0</v>
      </c>
      <c r="AB78" s="562">
        <f>SUMIFS([14]Покупка!AA$15:AA$54,[14]Покупка!$A$15:$A$54,$A78,[14]Покупка!$M$15:$M$54,$B78)</f>
        <v>0</v>
      </c>
      <c r="AC78" s="562">
        <f>SUMIFS([14]Покупка!AB$15:AB$54,[14]Покупка!$A$15:$A$54,$A78,[14]Покупка!$M$15:$M$54,$B78)</f>
        <v>0</v>
      </c>
      <c r="AD78" s="562">
        <f>SUMIFS([14]Покупка!AC$15:AC$54,[14]Покупка!$A$15:$A$54,$A78,[14]Покупка!$M$15:$M$54,$B78)</f>
        <v>0</v>
      </c>
      <c r="AE78" s="562">
        <f>SUMIFS([14]Покупка!AD$15:AD$54,[14]Покупка!$A$15:$A$54,$A78,[14]Покупка!$M$15:$M$54,$B78)</f>
        <v>0</v>
      </c>
      <c r="AF78" s="562">
        <f>SUMIFS([14]Покупка!AE$15:AE$54,[14]Покупка!$A$15:$A$54,$A78,[14]Покупка!$M$15:$M$54,$B78)</f>
        <v>0</v>
      </c>
      <c r="AG78" s="562">
        <f>SUMIFS([14]Покупка!AF$15:AF$54,[14]Покупка!$A$15:$A$54,$A78,[14]Покупка!$M$15:$M$54,$B78)</f>
        <v>0</v>
      </c>
      <c r="AH78" s="562">
        <f>SUMIFS([14]Покупка!AG$15:AG$54,[14]Покупка!$A$15:$A$54,$A78,[14]Покупка!$M$15:$M$54,$B78)</f>
        <v>0</v>
      </c>
      <c r="AI78" s="562">
        <f>SUMIFS([14]Покупка!AH$15:AH$54,[14]Покупка!$A$15:$A$54,$A78,[14]Покупка!$M$15:$M$54,$B78)</f>
        <v>0</v>
      </c>
      <c r="AJ78" s="562">
        <f>SUMIFS([14]Покупка!AI$15:AI$54,[14]Покупка!$A$15:$A$54,$A78,[14]Покупка!$M$15:$M$54,$B78)</f>
        <v>0</v>
      </c>
      <c r="AK78" s="562">
        <f>SUMIFS([14]Покупка!AJ$15:AJ$54,[14]Покупка!$A$15:$A$54,$A78,[14]Покупка!$M$15:$M$54,$B78)</f>
        <v>0</v>
      </c>
      <c r="AL78" s="562">
        <f>SUMIFS([14]Покупка!AK$15:AK$54,[14]Покупка!$A$15:$A$54,$A78,[14]Покупка!$M$15:$M$54,$B78)</f>
        <v>0</v>
      </c>
      <c r="AM78" s="562">
        <f>SUMIFS([14]Покупка!AL$15:AL$54,[14]Покупка!$A$15:$A$54,$A78,[14]Покупка!$M$15:$M$54,$B78)</f>
        <v>0</v>
      </c>
      <c r="AN78" s="562">
        <f>IF(S78=0,0,(AD78-S78)/S78*100)</f>
        <v>0</v>
      </c>
      <c r="AO78" s="562">
        <f t="shared" si="10"/>
        <v>0</v>
      </c>
      <c r="AP78" s="562">
        <f t="shared" si="10"/>
        <v>0</v>
      </c>
      <c r="AQ78" s="562">
        <f t="shared" si="10"/>
        <v>0</v>
      </c>
      <c r="AR78" s="562">
        <f t="shared" si="10"/>
        <v>0</v>
      </c>
      <c r="AS78" s="562">
        <f t="shared" si="10"/>
        <v>0</v>
      </c>
      <c r="AT78" s="562">
        <f t="shared" si="10"/>
        <v>0</v>
      </c>
      <c r="AU78" s="562">
        <f t="shared" si="10"/>
        <v>0</v>
      </c>
      <c r="AV78" s="562">
        <f t="shared" si="10"/>
        <v>0</v>
      </c>
      <c r="AW78" s="562">
        <f t="shared" si="10"/>
        <v>0</v>
      </c>
      <c r="AX78" s="548"/>
      <c r="AY78" s="548"/>
      <c r="AZ78" s="548"/>
    </row>
    <row r="79" spans="1:53" ht="11.25" hidden="1" outlineLevel="1" x14ac:dyDescent="0.25">
      <c r="A79" s="540" t="str">
        <f t="shared" si="7"/>
        <v>1</v>
      </c>
      <c r="D79" s="520" t="s">
        <v>768</v>
      </c>
      <c r="L79" s="551" t="s">
        <v>373</v>
      </c>
      <c r="M79" s="552" t="s">
        <v>769</v>
      </c>
      <c r="N79" s="585" t="s">
        <v>123</v>
      </c>
      <c r="O79" s="562" t="e">
        <f>SUMIFS([14]Реагенты!O$15:O$25,[14]Реагенты!$A$15:$A$25,$A79,[14]Реагенты!$M$15:$M$25,"Всего по тарифу")</f>
        <v>#VALUE!</v>
      </c>
      <c r="P79" s="562" t="e">
        <f>SUMIFS([14]Реагенты!P$15:P$25,[14]Реагенты!$A$15:$A$25,$A79,[14]Реагенты!$M$15:$M$25,"Всего по тарифу")</f>
        <v>#VALUE!</v>
      </c>
      <c r="Q79" s="562" t="e">
        <f>SUMIFS([14]Реагенты!Q$15:Q$25,[14]Реагенты!$A$15:$A$25,$A79,[14]Реагенты!$M$15:$M$25,"Всего по тарифу")</f>
        <v>#VALUE!</v>
      </c>
      <c r="R79" s="562" t="e">
        <f>Q79-P79</f>
        <v>#VALUE!</v>
      </c>
      <c r="S79" s="562" t="e">
        <f>SUMIFS([14]Реагенты!R$15:R$25,[14]Реагенты!$A$15:$A$25,$A79,[14]Реагенты!$M$15:$M$25,"Всего по тарифу")</f>
        <v>#VALUE!</v>
      </c>
      <c r="T79" s="562" t="e">
        <f>SUMIFS([14]Реагенты!S$15:S$25,[14]Реагенты!$A$15:$A$25,$A79,[14]Реагенты!$M$15:$M$25,"Всего по тарифу")</f>
        <v>#VALUE!</v>
      </c>
      <c r="U79" s="562" t="e">
        <f>SUMIFS([14]Реагенты!T$15:T$25,[14]Реагенты!$A$15:$A$25,$A79,[14]Реагенты!$M$15:$M$25,"Всего по тарифу")</f>
        <v>#VALUE!</v>
      </c>
      <c r="V79" s="562" t="e">
        <f>SUMIFS([14]Реагенты!U$15:U$25,[14]Реагенты!$A$15:$A$25,$A79,[14]Реагенты!$M$15:$M$25,"Всего по тарифу")</f>
        <v>#VALUE!</v>
      </c>
      <c r="W79" s="562" t="e">
        <f>SUMIFS([14]Реагенты!V$15:V$25,[14]Реагенты!$A$15:$A$25,$A79,[14]Реагенты!$M$15:$M$25,"Всего по тарифу")</f>
        <v>#VALUE!</v>
      </c>
      <c r="X79" s="562" t="e">
        <f>SUMIFS([14]Реагенты!W$15:W$25,[14]Реагенты!$A$15:$A$25,$A79,[14]Реагенты!$M$15:$M$25,"Всего по тарифу")</f>
        <v>#VALUE!</v>
      </c>
      <c r="Y79" s="562" t="e">
        <f>SUMIFS([14]Реагенты!X$15:X$25,[14]Реагенты!$A$15:$A$25,$A79,[14]Реагенты!$M$15:$M$25,"Всего по тарифу")</f>
        <v>#VALUE!</v>
      </c>
      <c r="Z79" s="562" t="e">
        <f>SUMIFS([14]Реагенты!Y$15:Y$25,[14]Реагенты!$A$15:$A$25,$A79,[14]Реагенты!$M$15:$M$25,"Всего по тарифу")</f>
        <v>#VALUE!</v>
      </c>
      <c r="AA79" s="562" t="e">
        <f>SUMIFS([14]Реагенты!Z$15:Z$25,[14]Реагенты!$A$15:$A$25,$A79,[14]Реагенты!$M$15:$M$25,"Всего по тарифу")</f>
        <v>#VALUE!</v>
      </c>
      <c r="AB79" s="562" t="e">
        <f>SUMIFS([14]Реагенты!AA$15:AA$25,[14]Реагенты!$A$15:$A$25,$A79,[14]Реагенты!$M$15:$M$25,"Всего по тарифу")</f>
        <v>#VALUE!</v>
      </c>
      <c r="AC79" s="562" t="e">
        <f>SUMIFS([14]Реагенты!AB$15:AB$25,[14]Реагенты!$A$15:$A$25,$A79,[14]Реагенты!$M$15:$M$25,"Всего по тарифу")</f>
        <v>#VALUE!</v>
      </c>
      <c r="AD79" s="562" t="e">
        <f>SUMIFS([14]Реагенты!AC$15:AC$25,[14]Реагенты!$A$15:$A$25,$A79,[14]Реагенты!$M$15:$M$25,"Всего по тарифу")</f>
        <v>#VALUE!</v>
      </c>
      <c r="AE79" s="562" t="e">
        <f>SUMIFS([14]Реагенты!AD$15:AD$25,[14]Реагенты!$A$15:$A$25,$A79,[14]Реагенты!$M$15:$M$25,"Всего по тарифу")</f>
        <v>#VALUE!</v>
      </c>
      <c r="AF79" s="562" t="e">
        <f>SUMIFS([14]Реагенты!AE$15:AE$25,[14]Реагенты!$A$15:$A$25,$A79,[14]Реагенты!$M$15:$M$25,"Всего по тарифу")</f>
        <v>#VALUE!</v>
      </c>
      <c r="AG79" s="562" t="e">
        <f>SUMIFS([14]Реагенты!AF$15:AF$25,[14]Реагенты!$A$15:$A$25,$A79,[14]Реагенты!$M$15:$M$25,"Всего по тарифу")</f>
        <v>#VALUE!</v>
      </c>
      <c r="AH79" s="562" t="e">
        <f>SUMIFS([14]Реагенты!AG$15:AG$25,[14]Реагенты!$A$15:$A$25,$A79,[14]Реагенты!$M$15:$M$25,"Всего по тарифу")</f>
        <v>#VALUE!</v>
      </c>
      <c r="AI79" s="562" t="e">
        <f>SUMIFS([14]Реагенты!AH$15:AH$25,[14]Реагенты!$A$15:$A$25,$A79,[14]Реагенты!$M$15:$M$25,"Всего по тарифу")</f>
        <v>#VALUE!</v>
      </c>
      <c r="AJ79" s="562" t="e">
        <f>SUMIFS([14]Реагенты!AI$15:AI$25,[14]Реагенты!$A$15:$A$25,$A79,[14]Реагенты!$M$15:$M$25,"Всего по тарифу")</f>
        <v>#VALUE!</v>
      </c>
      <c r="AK79" s="562" t="e">
        <f>SUMIFS([14]Реагенты!AJ$15:AJ$25,[14]Реагенты!$A$15:$A$25,$A79,[14]Реагенты!$M$15:$M$25,"Всего по тарифу")</f>
        <v>#VALUE!</v>
      </c>
      <c r="AL79" s="562" t="e">
        <f>SUMIFS([14]Реагенты!AK$15:AK$25,[14]Реагенты!$A$15:$A$25,$A79,[14]Реагенты!$M$15:$M$25,"Всего по тарифу")</f>
        <v>#VALUE!</v>
      </c>
      <c r="AM79" s="562" t="e">
        <f>SUMIFS([14]Реагенты!AL$15:AL$25,[14]Реагенты!$A$15:$A$25,$A79,[14]Реагенты!$M$15:$M$25,"Всего по тарифу")</f>
        <v>#VALUE!</v>
      </c>
      <c r="AN79" s="562" t="e">
        <f t="shared" si="12"/>
        <v>#VALUE!</v>
      </c>
      <c r="AO79" s="562" t="e">
        <f t="shared" si="10"/>
        <v>#VALUE!</v>
      </c>
      <c r="AP79" s="562" t="e">
        <f t="shared" si="10"/>
        <v>#VALUE!</v>
      </c>
      <c r="AQ79" s="562" t="e">
        <f t="shared" si="10"/>
        <v>#VALUE!</v>
      </c>
      <c r="AR79" s="562" t="e">
        <f t="shared" si="10"/>
        <v>#VALUE!</v>
      </c>
      <c r="AS79" s="562" t="e">
        <f t="shared" si="10"/>
        <v>#VALUE!</v>
      </c>
      <c r="AT79" s="562" t="e">
        <f t="shared" si="10"/>
        <v>#VALUE!</v>
      </c>
      <c r="AU79" s="562" t="e">
        <f t="shared" si="10"/>
        <v>#VALUE!</v>
      </c>
      <c r="AV79" s="562" t="e">
        <f t="shared" si="10"/>
        <v>#VALUE!</v>
      </c>
      <c r="AW79" s="562" t="e">
        <f t="shared" si="10"/>
        <v>#VALUE!</v>
      </c>
      <c r="AX79" s="548"/>
      <c r="AY79" s="548"/>
      <c r="AZ79" s="548"/>
    </row>
    <row r="80" spans="1:53" s="572" customFormat="1" ht="11.25" hidden="1" outlineLevel="1" x14ac:dyDescent="0.25">
      <c r="A80" s="540" t="str">
        <f t="shared" si="7"/>
        <v>1</v>
      </c>
      <c r="C80" s="520"/>
      <c r="D80" s="520" t="s">
        <v>770</v>
      </c>
      <c r="L80" s="573" t="s">
        <v>771</v>
      </c>
      <c r="M80" s="574" t="s">
        <v>772</v>
      </c>
      <c r="N80" s="575" t="s">
        <v>123</v>
      </c>
      <c r="O80" s="546">
        <f>SUM(O81:O89)</f>
        <v>123.22999999999999</v>
      </c>
      <c r="P80" s="546">
        <f t="shared" ref="P80:AM80" si="13">SUM(P81:P89)</f>
        <v>62.47</v>
      </c>
      <c r="Q80" s="546">
        <f t="shared" si="13"/>
        <v>38.770000000000003</v>
      </c>
      <c r="R80" s="546">
        <f t="shared" ref="R80:R135" si="14">Q80-P80</f>
        <v>-23.699999999999996</v>
      </c>
      <c r="S80" s="546">
        <f t="shared" si="13"/>
        <v>157.94999999999999</v>
      </c>
      <c r="T80" s="576">
        <f t="shared" si="13"/>
        <v>169.22</v>
      </c>
      <c r="U80" s="546">
        <f t="shared" si="13"/>
        <v>0</v>
      </c>
      <c r="V80" s="546">
        <f t="shared" si="13"/>
        <v>0</v>
      </c>
      <c r="W80" s="546">
        <f t="shared" si="13"/>
        <v>0</v>
      </c>
      <c r="X80" s="546">
        <f t="shared" si="13"/>
        <v>0</v>
      </c>
      <c r="Y80" s="546">
        <f t="shared" si="13"/>
        <v>0</v>
      </c>
      <c r="Z80" s="546">
        <f t="shared" si="13"/>
        <v>0</v>
      </c>
      <c r="AA80" s="546">
        <f t="shared" si="13"/>
        <v>0</v>
      </c>
      <c r="AB80" s="546">
        <f t="shared" si="13"/>
        <v>0</v>
      </c>
      <c r="AC80" s="546">
        <f t="shared" si="13"/>
        <v>0</v>
      </c>
      <c r="AD80" s="576">
        <f t="shared" si="13"/>
        <v>169.22</v>
      </c>
      <c r="AE80" s="546">
        <f t="shared" si="13"/>
        <v>191.89999999999998</v>
      </c>
      <c r="AF80" s="546">
        <f t="shared" si="13"/>
        <v>120.48</v>
      </c>
      <c r="AG80" s="546">
        <f t="shared" si="13"/>
        <v>123.72</v>
      </c>
      <c r="AH80" s="546">
        <f t="shared" si="13"/>
        <v>0</v>
      </c>
      <c r="AI80" s="546">
        <f t="shared" si="13"/>
        <v>0</v>
      </c>
      <c r="AJ80" s="546">
        <f t="shared" si="13"/>
        <v>0</v>
      </c>
      <c r="AK80" s="546">
        <f t="shared" si="13"/>
        <v>0</v>
      </c>
      <c r="AL80" s="546">
        <f t="shared" si="13"/>
        <v>0</v>
      </c>
      <c r="AM80" s="546">
        <f t="shared" si="13"/>
        <v>0</v>
      </c>
      <c r="AN80" s="546">
        <f t="shared" si="12"/>
        <v>7.1351693573915869</v>
      </c>
      <c r="AO80" s="546">
        <f t="shared" si="10"/>
        <v>13.402671079068657</v>
      </c>
      <c r="AP80" s="546">
        <f t="shared" si="10"/>
        <v>-37.217300677436157</v>
      </c>
      <c r="AQ80" s="546">
        <f t="shared" si="10"/>
        <v>2.6892430278884416</v>
      </c>
      <c r="AR80" s="546">
        <f t="shared" si="10"/>
        <v>-100</v>
      </c>
      <c r="AS80" s="546">
        <f t="shared" si="10"/>
        <v>0</v>
      </c>
      <c r="AT80" s="546">
        <f t="shared" si="10"/>
        <v>0</v>
      </c>
      <c r="AU80" s="546">
        <f t="shared" si="10"/>
        <v>0</v>
      </c>
      <c r="AV80" s="546">
        <f t="shared" si="10"/>
        <v>0</v>
      </c>
      <c r="AW80" s="546">
        <f t="shared" si="10"/>
        <v>0</v>
      </c>
      <c r="AX80" s="559"/>
      <c r="AY80" s="559"/>
      <c r="AZ80" s="559"/>
    </row>
    <row r="81" spans="1:52" ht="11.25" hidden="1" outlineLevel="1" x14ac:dyDescent="0.25">
      <c r="A81" s="540" t="str">
        <f t="shared" si="7"/>
        <v>1</v>
      </c>
      <c r="B81" s="520" t="s">
        <v>167</v>
      </c>
      <c r="D81" s="520" t="s">
        <v>773</v>
      </c>
      <c r="L81" s="551" t="s">
        <v>774</v>
      </c>
      <c r="M81" s="560" t="s">
        <v>775</v>
      </c>
      <c r="N81" s="553" t="s">
        <v>123</v>
      </c>
      <c r="O81" s="562">
        <f>SUMIFS([14]Налоги!O$15:O$42,[14]Налоги!$A$15:$A$42,$A81,[14]Налоги!$M$15:$M$42,$B81)</f>
        <v>0</v>
      </c>
      <c r="P81" s="562">
        <f>SUMIFS([14]Налоги!P$15:P$42,[14]Налоги!$A$15:$A$42,$A81,[14]Налоги!$M$15:$M$42,$B81)</f>
        <v>0</v>
      </c>
      <c r="Q81" s="562">
        <f>SUMIFS([14]Налоги!Q$15:Q$42,[14]Налоги!$A$15:$A$42,$A81,[14]Налоги!$M$15:$M$42,$B81)</f>
        <v>0</v>
      </c>
      <c r="R81" s="562">
        <f t="shared" si="14"/>
        <v>0</v>
      </c>
      <c r="S81" s="562">
        <f>SUMIFS([14]Налоги!R$15:R$42,[14]Налоги!$A$15:$A$42,$A81,[14]Налоги!$M$15:$M$42,$B81)</f>
        <v>0</v>
      </c>
      <c r="T81" s="562">
        <f>SUMIFS([14]Налоги!S$15:S$42,[14]Налоги!$A$15:$A$42,$A81,[14]Налоги!$M$15:$M$42,$B81)</f>
        <v>0</v>
      </c>
      <c r="U81" s="562">
        <f>SUMIFS([14]Налоги!T$15:T$42,[14]Налоги!$A$15:$A$42,$A81,[14]Налоги!$M$15:$M$42,$B81)</f>
        <v>0</v>
      </c>
      <c r="V81" s="562">
        <f>SUMIFS([14]Налоги!U$15:U$42,[14]Налоги!$A$15:$A$42,$A81,[14]Налоги!$M$15:$M$42,$B81)</f>
        <v>0</v>
      </c>
      <c r="W81" s="562">
        <f>SUMIFS([14]Налоги!V$15:V$42,[14]Налоги!$A$15:$A$42,$A81,[14]Налоги!$M$15:$M$42,$B81)</f>
        <v>0</v>
      </c>
      <c r="X81" s="562">
        <f>SUMIFS([14]Налоги!W$15:W$42,[14]Налоги!$A$15:$A$42,$A81,[14]Налоги!$M$15:$M$42,$B81)</f>
        <v>0</v>
      </c>
      <c r="Y81" s="562">
        <f>SUMIFS([14]Налоги!X$15:X$42,[14]Налоги!$A$15:$A$42,$A81,[14]Налоги!$M$15:$M$42,$B81)</f>
        <v>0</v>
      </c>
      <c r="Z81" s="562">
        <f>SUMIFS([14]Налоги!Y$15:Y$42,[14]Налоги!$A$15:$A$42,$A81,[14]Налоги!$M$15:$M$42,$B81)</f>
        <v>0</v>
      </c>
      <c r="AA81" s="562">
        <f>SUMIFS([14]Налоги!Z$15:Z$42,[14]Налоги!$A$15:$A$42,$A81,[14]Налоги!$M$15:$M$42,$B81)</f>
        <v>0</v>
      </c>
      <c r="AB81" s="562">
        <f>SUMIFS([14]Налоги!AA$15:AA$42,[14]Налоги!$A$15:$A$42,$A81,[14]Налоги!$M$15:$M$42,$B81)</f>
        <v>0</v>
      </c>
      <c r="AC81" s="562">
        <f>SUMIFS([14]Налоги!AB$15:AB$42,[14]Налоги!$A$15:$A$42,$A81,[14]Налоги!$M$15:$M$42,$B81)</f>
        <v>0</v>
      </c>
      <c r="AD81" s="562">
        <f>SUMIFS([14]Налоги!AC$15:AC$42,[14]Налоги!$A$15:$A$42,$A81,[14]Налоги!$M$15:$M$42,$B81)</f>
        <v>0</v>
      </c>
      <c r="AE81" s="562">
        <f>SUMIFS([14]Налоги!AD$15:AD$42,[14]Налоги!$A$15:$A$42,$A81,[14]Налоги!$M$15:$M$42,$B81)</f>
        <v>0</v>
      </c>
      <c r="AF81" s="562">
        <f>SUMIFS([14]Налоги!AE$15:AE$42,[14]Налоги!$A$15:$A$42,$A81,[14]Налоги!$M$15:$M$42,$B81)</f>
        <v>0</v>
      </c>
      <c r="AG81" s="562">
        <f>SUMIFS([14]Налоги!AF$15:AF$42,[14]Налоги!$A$15:$A$42,$A81,[14]Налоги!$M$15:$M$42,$B81)</f>
        <v>0</v>
      </c>
      <c r="AH81" s="562">
        <f>SUMIFS([14]Налоги!AG$15:AG$42,[14]Налоги!$A$15:$A$42,$A81,[14]Налоги!$M$15:$M$42,$B81)</f>
        <v>0</v>
      </c>
      <c r="AI81" s="562">
        <f>SUMIFS([14]Налоги!AH$15:AH$42,[14]Налоги!$A$15:$A$42,$A81,[14]Налоги!$M$15:$M$42,$B81)</f>
        <v>0</v>
      </c>
      <c r="AJ81" s="562">
        <f>SUMIFS([14]Налоги!AI$15:AI$42,[14]Налоги!$A$15:$A$42,$A81,[14]Налоги!$M$15:$M$42,$B81)</f>
        <v>0</v>
      </c>
      <c r="AK81" s="562">
        <f>SUMIFS([14]Налоги!AJ$15:AJ$42,[14]Налоги!$A$15:$A$42,$A81,[14]Налоги!$M$15:$M$42,$B81)</f>
        <v>0</v>
      </c>
      <c r="AL81" s="562">
        <f>SUMIFS([14]Налоги!AK$15:AK$42,[14]Налоги!$A$15:$A$42,$A81,[14]Налоги!$M$15:$M$42,$B81)</f>
        <v>0</v>
      </c>
      <c r="AM81" s="562">
        <f>SUMIFS([14]Налоги!AL$15:AL$42,[14]Налоги!$A$15:$A$42,$A81,[14]Налоги!$M$15:$M$42,$B81)</f>
        <v>0</v>
      </c>
      <c r="AN81" s="562">
        <f t="shared" si="12"/>
        <v>0</v>
      </c>
      <c r="AO81" s="562">
        <f t="shared" si="10"/>
        <v>0</v>
      </c>
      <c r="AP81" s="562">
        <f t="shared" si="10"/>
        <v>0</v>
      </c>
      <c r="AQ81" s="562">
        <f t="shared" si="10"/>
        <v>0</v>
      </c>
      <c r="AR81" s="562">
        <f t="shared" si="10"/>
        <v>0</v>
      </c>
      <c r="AS81" s="562">
        <f t="shared" si="10"/>
        <v>0</v>
      </c>
      <c r="AT81" s="562">
        <f t="shared" si="10"/>
        <v>0</v>
      </c>
      <c r="AU81" s="562">
        <f t="shared" si="10"/>
        <v>0</v>
      </c>
      <c r="AV81" s="562">
        <f t="shared" si="10"/>
        <v>0</v>
      </c>
      <c r="AW81" s="562">
        <f t="shared" si="10"/>
        <v>0</v>
      </c>
      <c r="AX81" s="548"/>
      <c r="AY81" s="548"/>
      <c r="AZ81" s="548"/>
    </row>
    <row r="82" spans="1:52" ht="11.25" hidden="1" outlineLevel="1" x14ac:dyDescent="0.25">
      <c r="A82" s="540" t="str">
        <f t="shared" ref="A82:A141" si="15">A81</f>
        <v>1</v>
      </c>
      <c r="B82" s="520" t="s">
        <v>776</v>
      </c>
      <c r="D82" s="520" t="s">
        <v>777</v>
      </c>
      <c r="L82" s="551" t="s">
        <v>778</v>
      </c>
      <c r="M82" s="560" t="s">
        <v>779</v>
      </c>
      <c r="N82" s="553" t="s">
        <v>123</v>
      </c>
      <c r="O82" s="562">
        <f>SUMIFS([14]Налоги!O$15:O$42,[14]Налоги!$A$15:$A$42,$A82,[14]Налоги!$M$15:$M$42,$B82)</f>
        <v>0</v>
      </c>
      <c r="P82" s="562">
        <f>SUMIFS([14]Налоги!P$15:P$42,[14]Налоги!$A$15:$A$42,$A82,[14]Налоги!$M$15:$M$42,$B82)</f>
        <v>0</v>
      </c>
      <c r="Q82" s="562">
        <f>SUMIFS([14]Налоги!Q$15:Q$42,[14]Налоги!$A$15:$A$42,$A82,[14]Налоги!$M$15:$M$42,$B82)</f>
        <v>0</v>
      </c>
      <c r="R82" s="562">
        <f t="shared" si="14"/>
        <v>0</v>
      </c>
      <c r="S82" s="562">
        <f>SUMIFS([14]Налоги!R$15:R$42,[14]Налоги!$A$15:$A$42,$A82,[14]Налоги!$M$15:$M$42,$B82)</f>
        <v>0</v>
      </c>
      <c r="T82" s="562">
        <f>SUMIFS([14]Налоги!S$15:S$42,[14]Налоги!$A$15:$A$42,$A82,[14]Налоги!$M$15:$M$42,$B82)</f>
        <v>0</v>
      </c>
      <c r="U82" s="562">
        <f>SUMIFS([14]Налоги!T$15:T$42,[14]Налоги!$A$15:$A$42,$A82,[14]Налоги!$M$15:$M$42,$B82)</f>
        <v>0</v>
      </c>
      <c r="V82" s="562">
        <f>SUMIFS([14]Налоги!U$15:U$42,[14]Налоги!$A$15:$A$42,$A82,[14]Налоги!$M$15:$M$42,$B82)</f>
        <v>0</v>
      </c>
      <c r="W82" s="562">
        <f>SUMIFS([14]Налоги!V$15:V$42,[14]Налоги!$A$15:$A$42,$A82,[14]Налоги!$M$15:$M$42,$B82)</f>
        <v>0</v>
      </c>
      <c r="X82" s="562">
        <f>SUMIFS([14]Налоги!W$15:W$42,[14]Налоги!$A$15:$A$42,$A82,[14]Налоги!$M$15:$M$42,$B82)</f>
        <v>0</v>
      </c>
      <c r="Y82" s="562">
        <f>SUMIFS([14]Налоги!X$15:X$42,[14]Налоги!$A$15:$A$42,$A82,[14]Налоги!$M$15:$M$42,$B82)</f>
        <v>0</v>
      </c>
      <c r="Z82" s="562">
        <f>SUMIFS([14]Налоги!Y$15:Y$42,[14]Налоги!$A$15:$A$42,$A82,[14]Налоги!$M$15:$M$42,$B82)</f>
        <v>0</v>
      </c>
      <c r="AA82" s="562">
        <f>SUMIFS([14]Налоги!Z$15:Z$42,[14]Налоги!$A$15:$A$42,$A82,[14]Налоги!$M$15:$M$42,$B82)</f>
        <v>0</v>
      </c>
      <c r="AB82" s="562">
        <f>SUMIFS([14]Налоги!AA$15:AA$42,[14]Налоги!$A$15:$A$42,$A82,[14]Налоги!$M$15:$M$42,$B82)</f>
        <v>0</v>
      </c>
      <c r="AC82" s="562">
        <f>SUMIFS([14]Налоги!AB$15:AB$42,[14]Налоги!$A$15:$A$42,$A82,[14]Налоги!$M$15:$M$42,$B82)</f>
        <v>0</v>
      </c>
      <c r="AD82" s="562">
        <f>SUMIFS([14]Налоги!AC$15:AC$42,[14]Налоги!$A$15:$A$42,$A82,[14]Налоги!$M$15:$M$42,$B82)</f>
        <v>0</v>
      </c>
      <c r="AE82" s="562">
        <f>SUMIFS([14]Налоги!AD$15:AD$42,[14]Налоги!$A$15:$A$42,$A82,[14]Налоги!$M$15:$M$42,$B82)</f>
        <v>0</v>
      </c>
      <c r="AF82" s="562">
        <f>SUMIFS([14]Налоги!AE$15:AE$42,[14]Налоги!$A$15:$A$42,$A82,[14]Налоги!$M$15:$M$42,$B82)</f>
        <v>0</v>
      </c>
      <c r="AG82" s="562">
        <f>SUMIFS([14]Налоги!AF$15:AF$42,[14]Налоги!$A$15:$A$42,$A82,[14]Налоги!$M$15:$M$42,$B82)</f>
        <v>0</v>
      </c>
      <c r="AH82" s="562">
        <f>SUMIFS([14]Налоги!AG$15:AG$42,[14]Налоги!$A$15:$A$42,$A82,[14]Налоги!$M$15:$M$42,$B82)</f>
        <v>0</v>
      </c>
      <c r="AI82" s="562">
        <f>SUMIFS([14]Налоги!AH$15:AH$42,[14]Налоги!$A$15:$A$42,$A82,[14]Налоги!$M$15:$M$42,$B82)</f>
        <v>0</v>
      </c>
      <c r="AJ82" s="562">
        <f>SUMIFS([14]Налоги!AI$15:AI$42,[14]Налоги!$A$15:$A$42,$A82,[14]Налоги!$M$15:$M$42,$B82)</f>
        <v>0</v>
      </c>
      <c r="AK82" s="562">
        <f>SUMIFS([14]Налоги!AJ$15:AJ$42,[14]Налоги!$A$15:$A$42,$A82,[14]Налоги!$M$15:$M$42,$B82)</f>
        <v>0</v>
      </c>
      <c r="AL82" s="562">
        <f>SUMIFS([14]Налоги!AK$15:AK$42,[14]Налоги!$A$15:$A$42,$A82,[14]Налоги!$M$15:$M$42,$B82)</f>
        <v>0</v>
      </c>
      <c r="AM82" s="562">
        <f>SUMIFS([14]Налоги!AL$15:AL$42,[14]Налоги!$A$15:$A$42,$A82,[14]Налоги!$M$15:$M$42,$B82)</f>
        <v>0</v>
      </c>
      <c r="AN82" s="562">
        <f t="shared" si="12"/>
        <v>0</v>
      </c>
      <c r="AO82" s="562">
        <f t="shared" si="10"/>
        <v>0</v>
      </c>
      <c r="AP82" s="562">
        <f t="shared" si="10"/>
        <v>0</v>
      </c>
      <c r="AQ82" s="562">
        <f t="shared" si="10"/>
        <v>0</v>
      </c>
      <c r="AR82" s="562">
        <f t="shared" si="10"/>
        <v>0</v>
      </c>
      <c r="AS82" s="562">
        <f t="shared" si="10"/>
        <v>0</v>
      </c>
      <c r="AT82" s="562">
        <f t="shared" si="10"/>
        <v>0</v>
      </c>
      <c r="AU82" s="562">
        <f t="shared" si="10"/>
        <v>0</v>
      </c>
      <c r="AV82" s="562">
        <f t="shared" si="10"/>
        <v>0</v>
      </c>
      <c r="AW82" s="562">
        <f t="shared" si="10"/>
        <v>0</v>
      </c>
      <c r="AX82" s="548"/>
      <c r="AY82" s="548"/>
      <c r="AZ82" s="548"/>
    </row>
    <row r="83" spans="1:52" ht="11.25" hidden="1" outlineLevel="1" x14ac:dyDescent="0.25">
      <c r="A83" s="540" t="str">
        <f t="shared" si="15"/>
        <v>1</v>
      </c>
      <c r="B83" s="520" t="s">
        <v>176</v>
      </c>
      <c r="D83" s="520" t="s">
        <v>780</v>
      </c>
      <c r="L83" s="551" t="s">
        <v>781</v>
      </c>
      <c r="M83" s="560" t="s">
        <v>782</v>
      </c>
      <c r="N83" s="553" t="s">
        <v>123</v>
      </c>
      <c r="O83" s="562">
        <f>SUMIFS([14]Налоги!O$15:O$42,[14]Налоги!$A$15:$A$42,$A83,[14]Налоги!$M$15:$M$42,$B83)</f>
        <v>0</v>
      </c>
      <c r="P83" s="562">
        <f>SUMIFS([14]Налоги!P$15:P$42,[14]Налоги!$A$15:$A$42,$A83,[14]Налоги!$M$15:$M$42,$B83)</f>
        <v>0</v>
      </c>
      <c r="Q83" s="562">
        <f>SUMIFS([14]Налоги!Q$15:Q$42,[14]Налоги!$A$15:$A$42,$A83,[14]Налоги!$M$15:$M$42,$B83)</f>
        <v>0</v>
      </c>
      <c r="R83" s="562">
        <f t="shared" si="14"/>
        <v>0</v>
      </c>
      <c r="S83" s="562">
        <f>SUMIFS([14]Налоги!R$15:R$42,[14]Налоги!$A$15:$A$42,$A83,[14]Налоги!$M$15:$M$42,$B83)</f>
        <v>0</v>
      </c>
      <c r="T83" s="562">
        <f>SUMIFS([14]Налоги!S$15:S$42,[14]Налоги!$A$15:$A$42,$A83,[14]Налоги!$M$15:$M$42,$B83)</f>
        <v>0</v>
      </c>
      <c r="U83" s="562">
        <f>SUMIFS([14]Налоги!T$15:T$42,[14]Налоги!$A$15:$A$42,$A83,[14]Налоги!$M$15:$M$42,$B83)</f>
        <v>0</v>
      </c>
      <c r="V83" s="562">
        <f>SUMIFS([14]Налоги!U$15:U$42,[14]Налоги!$A$15:$A$42,$A83,[14]Налоги!$M$15:$M$42,$B83)</f>
        <v>0</v>
      </c>
      <c r="W83" s="562">
        <f>SUMIFS([14]Налоги!V$15:V$42,[14]Налоги!$A$15:$A$42,$A83,[14]Налоги!$M$15:$M$42,$B83)</f>
        <v>0</v>
      </c>
      <c r="X83" s="562">
        <f>SUMIFS([14]Налоги!W$15:W$42,[14]Налоги!$A$15:$A$42,$A83,[14]Налоги!$M$15:$M$42,$B83)</f>
        <v>0</v>
      </c>
      <c r="Y83" s="562">
        <f>SUMIFS([14]Налоги!X$15:X$42,[14]Налоги!$A$15:$A$42,$A83,[14]Налоги!$M$15:$M$42,$B83)</f>
        <v>0</v>
      </c>
      <c r="Z83" s="562">
        <f>SUMIFS([14]Налоги!Y$15:Y$42,[14]Налоги!$A$15:$A$42,$A83,[14]Налоги!$M$15:$M$42,$B83)</f>
        <v>0</v>
      </c>
      <c r="AA83" s="562">
        <f>SUMIFS([14]Налоги!Z$15:Z$42,[14]Налоги!$A$15:$A$42,$A83,[14]Налоги!$M$15:$M$42,$B83)</f>
        <v>0</v>
      </c>
      <c r="AB83" s="562">
        <f>SUMIFS([14]Налоги!AA$15:AA$42,[14]Налоги!$A$15:$A$42,$A83,[14]Налоги!$M$15:$M$42,$B83)</f>
        <v>0</v>
      </c>
      <c r="AC83" s="562">
        <f>SUMIFS([14]Налоги!AB$15:AB$42,[14]Налоги!$A$15:$A$42,$A83,[14]Налоги!$M$15:$M$42,$B83)</f>
        <v>0</v>
      </c>
      <c r="AD83" s="562">
        <f>SUMIFS([14]Налоги!AC$15:AC$42,[14]Налоги!$A$15:$A$42,$A83,[14]Налоги!$M$15:$M$42,$B83)</f>
        <v>0</v>
      </c>
      <c r="AE83" s="562">
        <f>SUMIFS([14]Налоги!AD$15:AD$42,[14]Налоги!$A$15:$A$42,$A83,[14]Налоги!$M$15:$M$42,$B83)</f>
        <v>0</v>
      </c>
      <c r="AF83" s="562">
        <f>SUMIFS([14]Налоги!AE$15:AE$42,[14]Налоги!$A$15:$A$42,$A83,[14]Налоги!$M$15:$M$42,$B83)</f>
        <v>0</v>
      </c>
      <c r="AG83" s="562">
        <f>SUMIFS([14]Налоги!AF$15:AF$42,[14]Налоги!$A$15:$A$42,$A83,[14]Налоги!$M$15:$M$42,$B83)</f>
        <v>0</v>
      </c>
      <c r="AH83" s="562">
        <f>SUMIFS([14]Налоги!AG$15:AG$42,[14]Налоги!$A$15:$A$42,$A83,[14]Налоги!$M$15:$M$42,$B83)</f>
        <v>0</v>
      </c>
      <c r="AI83" s="562">
        <f>SUMIFS([14]Налоги!AH$15:AH$42,[14]Налоги!$A$15:$A$42,$A83,[14]Налоги!$M$15:$M$42,$B83)</f>
        <v>0</v>
      </c>
      <c r="AJ83" s="562">
        <f>SUMIFS([14]Налоги!AI$15:AI$42,[14]Налоги!$A$15:$A$42,$A83,[14]Налоги!$M$15:$M$42,$B83)</f>
        <v>0</v>
      </c>
      <c r="AK83" s="562">
        <f>SUMIFS([14]Налоги!AJ$15:AJ$42,[14]Налоги!$A$15:$A$42,$A83,[14]Налоги!$M$15:$M$42,$B83)</f>
        <v>0</v>
      </c>
      <c r="AL83" s="562">
        <f>SUMIFS([14]Налоги!AK$15:AK$42,[14]Налоги!$A$15:$A$42,$A83,[14]Налоги!$M$15:$M$42,$B83)</f>
        <v>0</v>
      </c>
      <c r="AM83" s="562">
        <f>SUMIFS([14]Налоги!AL$15:AL$42,[14]Налоги!$A$15:$A$42,$A83,[14]Налоги!$M$15:$M$42,$B83)</f>
        <v>0</v>
      </c>
      <c r="AN83" s="562">
        <f t="shared" si="12"/>
        <v>0</v>
      </c>
      <c r="AO83" s="562">
        <f t="shared" ref="AO83:AW110" si="16">IF(AD83=0,0,(AE83-AD83)/AD83*100)</f>
        <v>0</v>
      </c>
      <c r="AP83" s="562">
        <f t="shared" si="16"/>
        <v>0</v>
      </c>
      <c r="AQ83" s="562">
        <f t="shared" si="16"/>
        <v>0</v>
      </c>
      <c r="AR83" s="562">
        <f t="shared" si="16"/>
        <v>0</v>
      </c>
      <c r="AS83" s="562">
        <f t="shared" si="16"/>
        <v>0</v>
      </c>
      <c r="AT83" s="562">
        <f t="shared" si="16"/>
        <v>0</v>
      </c>
      <c r="AU83" s="562">
        <f t="shared" si="16"/>
        <v>0</v>
      </c>
      <c r="AV83" s="562">
        <f t="shared" si="16"/>
        <v>0</v>
      </c>
      <c r="AW83" s="562">
        <f t="shared" si="16"/>
        <v>0</v>
      </c>
      <c r="AX83" s="548"/>
      <c r="AY83" s="548"/>
      <c r="AZ83" s="548"/>
    </row>
    <row r="84" spans="1:52" ht="11.25" hidden="1" outlineLevel="1" x14ac:dyDescent="0.25">
      <c r="A84" s="540" t="str">
        <f t="shared" si="15"/>
        <v>1</v>
      </c>
      <c r="B84" s="520" t="s">
        <v>783</v>
      </c>
      <c r="D84" s="520" t="s">
        <v>784</v>
      </c>
      <c r="L84" s="551" t="s">
        <v>785</v>
      </c>
      <c r="M84" s="560" t="s">
        <v>786</v>
      </c>
      <c r="N84" s="553" t="s">
        <v>123</v>
      </c>
      <c r="O84" s="562">
        <f>SUMIFS([14]Налоги!O$15:O$42,[14]Налоги!$A$15:$A$42,$A84,[14]Налоги!$M$15:$M$42,$B84)</f>
        <v>43.41</v>
      </c>
      <c r="P84" s="562">
        <f>SUMIFS([14]Налоги!P$15:P$42,[14]Налоги!$A$15:$A$42,$A84,[14]Налоги!$M$15:$M$42,$B84)</f>
        <v>62.47</v>
      </c>
      <c r="Q84" s="562">
        <f>SUMIFS([14]Налоги!Q$15:Q$42,[14]Налоги!$A$15:$A$42,$A84,[14]Налоги!$M$15:$M$42,$B84)</f>
        <v>38.770000000000003</v>
      </c>
      <c r="R84" s="562">
        <f t="shared" si="14"/>
        <v>-23.699999999999996</v>
      </c>
      <c r="S84" s="562">
        <f>SUMIFS([14]Налоги!R$15:R$42,[14]Налоги!$A$15:$A$42,$A84,[14]Налоги!$M$15:$M$42,$B84)</f>
        <v>68.25</v>
      </c>
      <c r="T84" s="562">
        <f>SUMIFS([14]Налоги!S$15:S$42,[14]Налоги!$A$15:$A$42,$A84,[14]Налоги!$M$15:$M$42,$B84)</f>
        <v>58.62</v>
      </c>
      <c r="U84" s="562">
        <f>SUMIFS([14]Налоги!T$15:T$42,[14]Налоги!$A$15:$A$42,$A84,[14]Налоги!$M$15:$M$42,$B84)</f>
        <v>0</v>
      </c>
      <c r="V84" s="562">
        <f>SUMIFS([14]Налоги!U$15:U$42,[14]Налоги!$A$15:$A$42,$A84,[14]Налоги!$M$15:$M$42,$B84)</f>
        <v>0</v>
      </c>
      <c r="W84" s="562">
        <f>SUMIFS([14]Налоги!V$15:V$42,[14]Налоги!$A$15:$A$42,$A84,[14]Налоги!$M$15:$M$42,$B84)</f>
        <v>0</v>
      </c>
      <c r="X84" s="562">
        <f>SUMIFS([14]Налоги!W$15:W$42,[14]Налоги!$A$15:$A$42,$A84,[14]Налоги!$M$15:$M$42,$B84)</f>
        <v>0</v>
      </c>
      <c r="Y84" s="562">
        <f>SUMIFS([14]Налоги!X$15:X$42,[14]Налоги!$A$15:$A$42,$A84,[14]Налоги!$M$15:$M$42,$B84)</f>
        <v>0</v>
      </c>
      <c r="Z84" s="562">
        <f>SUMIFS([14]Налоги!Y$15:Y$42,[14]Налоги!$A$15:$A$42,$A84,[14]Налоги!$M$15:$M$42,$B84)</f>
        <v>0</v>
      </c>
      <c r="AA84" s="562">
        <f>SUMIFS([14]Налоги!Z$15:Z$42,[14]Налоги!$A$15:$A$42,$A84,[14]Налоги!$M$15:$M$42,$B84)</f>
        <v>0</v>
      </c>
      <c r="AB84" s="562">
        <f>SUMIFS([14]Налоги!AA$15:AA$42,[14]Налоги!$A$15:$A$42,$A84,[14]Налоги!$M$15:$M$42,$B84)</f>
        <v>0</v>
      </c>
      <c r="AC84" s="562">
        <f>SUMIFS([14]Налоги!AB$15:AB$42,[14]Налоги!$A$15:$A$42,$A84,[14]Налоги!$M$15:$M$42,$B84)</f>
        <v>0</v>
      </c>
      <c r="AD84" s="562">
        <f>SUMIFS([14]Налоги!AC$15:AC$42,[14]Налоги!$A$15:$A$42,$A84,[14]Налоги!$M$15:$M$42,$B84)</f>
        <v>58.62</v>
      </c>
      <c r="AE84" s="562">
        <f>SUMIFS([14]Налоги!AD$15:AD$42,[14]Налоги!$A$15:$A$42,$A84,[14]Налоги!$M$15:$M$42,$B84)</f>
        <v>73.819999999999993</v>
      </c>
      <c r="AF84" s="562">
        <f>SUMIFS([14]Налоги!AE$15:AE$42,[14]Налоги!$A$15:$A$42,$A84,[14]Налоги!$M$15:$M$42,$B84)</f>
        <v>0</v>
      </c>
      <c r="AG84" s="562">
        <f>SUMIFS([14]Налоги!AF$15:AF$42,[14]Налоги!$A$15:$A$42,$A84,[14]Налоги!$M$15:$M$42,$B84)</f>
        <v>0</v>
      </c>
      <c r="AH84" s="562">
        <f>SUMIFS([14]Налоги!AG$15:AG$42,[14]Налоги!$A$15:$A$42,$A84,[14]Налоги!$M$15:$M$42,$B84)</f>
        <v>0</v>
      </c>
      <c r="AI84" s="562">
        <f>SUMIFS([14]Налоги!AH$15:AH$42,[14]Налоги!$A$15:$A$42,$A84,[14]Налоги!$M$15:$M$42,$B84)</f>
        <v>0</v>
      </c>
      <c r="AJ84" s="562">
        <f>SUMIFS([14]Налоги!AI$15:AI$42,[14]Налоги!$A$15:$A$42,$A84,[14]Налоги!$M$15:$M$42,$B84)</f>
        <v>0</v>
      </c>
      <c r="AK84" s="562">
        <f>SUMIFS([14]Налоги!AJ$15:AJ$42,[14]Налоги!$A$15:$A$42,$A84,[14]Налоги!$M$15:$M$42,$B84)</f>
        <v>0</v>
      </c>
      <c r="AL84" s="562">
        <f>SUMIFS([14]Налоги!AK$15:AK$42,[14]Налоги!$A$15:$A$42,$A84,[14]Налоги!$M$15:$M$42,$B84)</f>
        <v>0</v>
      </c>
      <c r="AM84" s="562">
        <f>SUMIFS([14]Налоги!AL$15:AL$42,[14]Налоги!$A$15:$A$42,$A84,[14]Налоги!$M$15:$M$42,$B84)</f>
        <v>0</v>
      </c>
      <c r="AN84" s="562">
        <f t="shared" si="12"/>
        <v>-14.109890109890113</v>
      </c>
      <c r="AO84" s="562">
        <f t="shared" si="16"/>
        <v>25.929716820197878</v>
      </c>
      <c r="AP84" s="562">
        <f t="shared" si="16"/>
        <v>-100</v>
      </c>
      <c r="AQ84" s="562">
        <f t="shared" si="16"/>
        <v>0</v>
      </c>
      <c r="AR84" s="562">
        <f t="shared" si="16"/>
        <v>0</v>
      </c>
      <c r="AS84" s="562">
        <f t="shared" si="16"/>
        <v>0</v>
      </c>
      <c r="AT84" s="562">
        <f t="shared" si="16"/>
        <v>0</v>
      </c>
      <c r="AU84" s="562">
        <f t="shared" si="16"/>
        <v>0</v>
      </c>
      <c r="AV84" s="562">
        <f t="shared" si="16"/>
        <v>0</v>
      </c>
      <c r="AW84" s="562">
        <f t="shared" si="16"/>
        <v>0</v>
      </c>
      <c r="AX84" s="548"/>
      <c r="AY84" s="548"/>
      <c r="AZ84" s="548"/>
    </row>
    <row r="85" spans="1:52" ht="11.25" hidden="1" outlineLevel="1" x14ac:dyDescent="0.25">
      <c r="A85" s="540" t="str">
        <f t="shared" si="15"/>
        <v>1</v>
      </c>
      <c r="B85" s="520" t="s">
        <v>787</v>
      </c>
      <c r="D85" s="520" t="s">
        <v>788</v>
      </c>
      <c r="L85" s="551" t="s">
        <v>789</v>
      </c>
      <c r="M85" s="560" t="s">
        <v>790</v>
      </c>
      <c r="N85" s="553" t="s">
        <v>123</v>
      </c>
      <c r="O85" s="562">
        <f>SUMIFS([14]Налоги!O$15:O$42,[14]Налоги!$A$15:$A$42,$A85,[14]Налоги!$M$15:$M$42,$B85)</f>
        <v>0</v>
      </c>
      <c r="P85" s="562">
        <f>SUMIFS([14]Налоги!P$15:P$42,[14]Налоги!$A$15:$A$42,$A85,[14]Налоги!$M$15:$M$42,$B85)</f>
        <v>0</v>
      </c>
      <c r="Q85" s="562">
        <f>SUMIFS([14]Налоги!Q$15:Q$42,[14]Налоги!$A$15:$A$42,$A85,[14]Налоги!$M$15:$M$42,$B85)</f>
        <v>0</v>
      </c>
      <c r="R85" s="562">
        <f t="shared" si="14"/>
        <v>0</v>
      </c>
      <c r="S85" s="562">
        <f>SUMIFS([14]Налоги!R$15:R$42,[14]Налоги!$A$15:$A$42,$A85,[14]Налоги!$M$15:$M$42,$B85)</f>
        <v>0</v>
      </c>
      <c r="T85" s="562">
        <f>SUMIFS([14]Налоги!S$15:S$42,[14]Налоги!$A$15:$A$42,$A85,[14]Налоги!$M$15:$M$42,$B85)</f>
        <v>0</v>
      </c>
      <c r="U85" s="562">
        <f>SUMIFS([14]Налоги!T$15:T$42,[14]Налоги!$A$15:$A$42,$A85,[14]Налоги!$M$15:$M$42,$B85)</f>
        <v>0</v>
      </c>
      <c r="V85" s="562">
        <f>SUMIFS([14]Налоги!U$15:U$42,[14]Налоги!$A$15:$A$42,$A85,[14]Налоги!$M$15:$M$42,$B85)</f>
        <v>0</v>
      </c>
      <c r="W85" s="562">
        <f>SUMIFS([14]Налоги!V$15:V$42,[14]Налоги!$A$15:$A$42,$A85,[14]Налоги!$M$15:$M$42,$B85)</f>
        <v>0</v>
      </c>
      <c r="X85" s="562">
        <f>SUMIFS([14]Налоги!W$15:W$42,[14]Налоги!$A$15:$A$42,$A85,[14]Налоги!$M$15:$M$42,$B85)</f>
        <v>0</v>
      </c>
      <c r="Y85" s="562">
        <f>SUMIFS([14]Налоги!X$15:X$42,[14]Налоги!$A$15:$A$42,$A85,[14]Налоги!$M$15:$M$42,$B85)</f>
        <v>0</v>
      </c>
      <c r="Z85" s="562">
        <f>SUMIFS([14]Налоги!Y$15:Y$42,[14]Налоги!$A$15:$A$42,$A85,[14]Налоги!$M$15:$M$42,$B85)</f>
        <v>0</v>
      </c>
      <c r="AA85" s="562">
        <f>SUMIFS([14]Налоги!Z$15:Z$42,[14]Налоги!$A$15:$A$42,$A85,[14]Налоги!$M$15:$M$42,$B85)</f>
        <v>0</v>
      </c>
      <c r="AB85" s="562">
        <f>SUMIFS([14]Налоги!AA$15:AA$42,[14]Налоги!$A$15:$A$42,$A85,[14]Налоги!$M$15:$M$42,$B85)</f>
        <v>0</v>
      </c>
      <c r="AC85" s="562">
        <f>SUMIFS([14]Налоги!AB$15:AB$42,[14]Налоги!$A$15:$A$42,$A85,[14]Налоги!$M$15:$M$42,$B85)</f>
        <v>0</v>
      </c>
      <c r="AD85" s="562">
        <f>SUMIFS([14]Налоги!AC$15:AC$42,[14]Налоги!$A$15:$A$42,$A85,[14]Налоги!$M$15:$M$42,$B85)</f>
        <v>0</v>
      </c>
      <c r="AE85" s="562">
        <f>SUMIFS([14]Налоги!AD$15:AD$42,[14]Налоги!$A$15:$A$42,$A85,[14]Налоги!$M$15:$M$42,$B85)</f>
        <v>0</v>
      </c>
      <c r="AF85" s="562">
        <f>SUMIFS([14]Налоги!AE$15:AE$42,[14]Налоги!$A$15:$A$42,$A85,[14]Налоги!$M$15:$M$42,$B85)</f>
        <v>0</v>
      </c>
      <c r="AG85" s="562">
        <f>SUMIFS([14]Налоги!AF$15:AF$42,[14]Налоги!$A$15:$A$42,$A85,[14]Налоги!$M$15:$M$42,$B85)</f>
        <v>0</v>
      </c>
      <c r="AH85" s="562">
        <f>SUMIFS([14]Налоги!AG$15:AG$42,[14]Налоги!$A$15:$A$42,$A85,[14]Налоги!$M$15:$M$42,$B85)</f>
        <v>0</v>
      </c>
      <c r="AI85" s="562">
        <f>SUMIFS([14]Налоги!AH$15:AH$42,[14]Налоги!$A$15:$A$42,$A85,[14]Налоги!$M$15:$M$42,$B85)</f>
        <v>0</v>
      </c>
      <c r="AJ85" s="562">
        <f>SUMIFS([14]Налоги!AI$15:AI$42,[14]Налоги!$A$15:$A$42,$A85,[14]Налоги!$M$15:$M$42,$B85)</f>
        <v>0</v>
      </c>
      <c r="AK85" s="562">
        <f>SUMIFS([14]Налоги!AJ$15:AJ$42,[14]Налоги!$A$15:$A$42,$A85,[14]Налоги!$M$15:$M$42,$B85)</f>
        <v>0</v>
      </c>
      <c r="AL85" s="562">
        <f>SUMIFS([14]Налоги!AK$15:AK$42,[14]Налоги!$A$15:$A$42,$A85,[14]Налоги!$M$15:$M$42,$B85)</f>
        <v>0</v>
      </c>
      <c r="AM85" s="562">
        <f>SUMIFS([14]Налоги!AL$15:AL$42,[14]Налоги!$A$15:$A$42,$A85,[14]Налоги!$M$15:$M$42,$B85)</f>
        <v>0</v>
      </c>
      <c r="AN85" s="562">
        <f t="shared" si="12"/>
        <v>0</v>
      </c>
      <c r="AO85" s="562">
        <f t="shared" si="16"/>
        <v>0</v>
      </c>
      <c r="AP85" s="562">
        <f t="shared" si="16"/>
        <v>0</v>
      </c>
      <c r="AQ85" s="562">
        <f t="shared" si="16"/>
        <v>0</v>
      </c>
      <c r="AR85" s="562">
        <f t="shared" si="16"/>
        <v>0</v>
      </c>
      <c r="AS85" s="562">
        <f t="shared" si="16"/>
        <v>0</v>
      </c>
      <c r="AT85" s="562">
        <f t="shared" si="16"/>
        <v>0</v>
      </c>
      <c r="AU85" s="562">
        <f t="shared" si="16"/>
        <v>0</v>
      </c>
      <c r="AV85" s="562">
        <f t="shared" si="16"/>
        <v>0</v>
      </c>
      <c r="AW85" s="562">
        <f t="shared" si="16"/>
        <v>0</v>
      </c>
      <c r="AX85" s="548"/>
      <c r="AY85" s="548"/>
      <c r="AZ85" s="548"/>
    </row>
    <row r="86" spans="1:52" ht="11.25" hidden="1" outlineLevel="1" x14ac:dyDescent="0.25">
      <c r="A86" s="540" t="str">
        <f t="shared" si="15"/>
        <v>1</v>
      </c>
      <c r="B86" s="520" t="s">
        <v>178</v>
      </c>
      <c r="D86" s="520" t="s">
        <v>791</v>
      </c>
      <c r="L86" s="551" t="s">
        <v>792</v>
      </c>
      <c r="M86" s="560" t="s">
        <v>793</v>
      </c>
      <c r="N86" s="553" t="s">
        <v>123</v>
      </c>
      <c r="O86" s="562">
        <f>SUMIFS([14]Налоги!O$15:O$42,[14]Налоги!$A$15:$A$42,$A86,[14]Налоги!$M$15:$M$42,$B86)</f>
        <v>0</v>
      </c>
      <c r="P86" s="562">
        <f>SUMIFS([14]Налоги!P$15:P$42,[14]Налоги!$A$15:$A$42,$A86,[14]Налоги!$M$15:$M$42,$B86)</f>
        <v>0</v>
      </c>
      <c r="Q86" s="562">
        <f>SUMIFS([14]Налоги!Q$15:Q$42,[14]Налоги!$A$15:$A$42,$A86,[14]Налоги!$M$15:$M$42,$B86)</f>
        <v>0</v>
      </c>
      <c r="R86" s="562">
        <f t="shared" si="14"/>
        <v>0</v>
      </c>
      <c r="S86" s="562">
        <f>SUMIFS([14]Налоги!R$15:R$42,[14]Налоги!$A$15:$A$42,$A86,[14]Налоги!$M$15:$M$42,$B86)</f>
        <v>0</v>
      </c>
      <c r="T86" s="562">
        <f>SUMIFS([14]Налоги!S$15:S$42,[14]Налоги!$A$15:$A$42,$A86,[14]Налоги!$M$15:$M$42,$B86)</f>
        <v>0</v>
      </c>
      <c r="U86" s="562">
        <f>SUMIFS([14]Налоги!T$15:T$42,[14]Налоги!$A$15:$A$42,$A86,[14]Налоги!$M$15:$M$42,$B86)</f>
        <v>0</v>
      </c>
      <c r="V86" s="562">
        <f>SUMIFS([14]Налоги!U$15:U$42,[14]Налоги!$A$15:$A$42,$A86,[14]Налоги!$M$15:$M$42,$B86)</f>
        <v>0</v>
      </c>
      <c r="W86" s="562">
        <f>SUMIFS([14]Налоги!V$15:V$42,[14]Налоги!$A$15:$A$42,$A86,[14]Налоги!$M$15:$M$42,$B86)</f>
        <v>0</v>
      </c>
      <c r="X86" s="562">
        <f>SUMIFS([14]Налоги!W$15:W$42,[14]Налоги!$A$15:$A$42,$A86,[14]Налоги!$M$15:$M$42,$B86)</f>
        <v>0</v>
      </c>
      <c r="Y86" s="562">
        <f>SUMIFS([14]Налоги!X$15:X$42,[14]Налоги!$A$15:$A$42,$A86,[14]Налоги!$M$15:$M$42,$B86)</f>
        <v>0</v>
      </c>
      <c r="Z86" s="562">
        <f>SUMIFS([14]Налоги!Y$15:Y$42,[14]Налоги!$A$15:$A$42,$A86,[14]Налоги!$M$15:$M$42,$B86)</f>
        <v>0</v>
      </c>
      <c r="AA86" s="562">
        <f>SUMIFS([14]Налоги!Z$15:Z$42,[14]Налоги!$A$15:$A$42,$A86,[14]Налоги!$M$15:$M$42,$B86)</f>
        <v>0</v>
      </c>
      <c r="AB86" s="562">
        <f>SUMIFS([14]Налоги!AA$15:AA$42,[14]Налоги!$A$15:$A$42,$A86,[14]Налоги!$M$15:$M$42,$B86)</f>
        <v>0</v>
      </c>
      <c r="AC86" s="562">
        <f>SUMIFS([14]Налоги!AB$15:AB$42,[14]Налоги!$A$15:$A$42,$A86,[14]Налоги!$M$15:$M$42,$B86)</f>
        <v>0</v>
      </c>
      <c r="AD86" s="562">
        <f>SUMIFS([14]Налоги!AC$15:AC$42,[14]Налоги!$A$15:$A$42,$A86,[14]Налоги!$M$15:$M$42,$B86)</f>
        <v>0</v>
      </c>
      <c r="AE86" s="562">
        <f>SUMIFS([14]Налоги!AD$15:AD$42,[14]Налоги!$A$15:$A$42,$A86,[14]Налоги!$M$15:$M$42,$B86)</f>
        <v>0</v>
      </c>
      <c r="AF86" s="562">
        <f>SUMIFS([14]Налоги!AE$15:AE$42,[14]Налоги!$A$15:$A$42,$A86,[14]Налоги!$M$15:$M$42,$B86)</f>
        <v>0</v>
      </c>
      <c r="AG86" s="562">
        <f>SUMIFS([14]Налоги!AF$15:AF$42,[14]Налоги!$A$15:$A$42,$A86,[14]Налоги!$M$15:$M$42,$B86)</f>
        <v>0</v>
      </c>
      <c r="AH86" s="562">
        <f>SUMIFS([14]Налоги!AG$15:AG$42,[14]Налоги!$A$15:$A$42,$A86,[14]Налоги!$M$15:$M$42,$B86)</f>
        <v>0</v>
      </c>
      <c r="AI86" s="562">
        <f>SUMIFS([14]Налоги!AH$15:AH$42,[14]Налоги!$A$15:$A$42,$A86,[14]Налоги!$M$15:$M$42,$B86)</f>
        <v>0</v>
      </c>
      <c r="AJ86" s="562">
        <f>SUMIFS([14]Налоги!AI$15:AI$42,[14]Налоги!$A$15:$A$42,$A86,[14]Налоги!$M$15:$M$42,$B86)</f>
        <v>0</v>
      </c>
      <c r="AK86" s="562">
        <f>SUMIFS([14]Налоги!AJ$15:AJ$42,[14]Налоги!$A$15:$A$42,$A86,[14]Налоги!$M$15:$M$42,$B86)</f>
        <v>0</v>
      </c>
      <c r="AL86" s="562">
        <f>SUMIFS([14]Налоги!AK$15:AK$42,[14]Налоги!$A$15:$A$42,$A86,[14]Налоги!$M$15:$M$42,$B86)</f>
        <v>0</v>
      </c>
      <c r="AM86" s="562">
        <f>SUMIFS([14]Налоги!AL$15:AL$42,[14]Налоги!$A$15:$A$42,$A86,[14]Налоги!$M$15:$M$42,$B86)</f>
        <v>0</v>
      </c>
      <c r="AN86" s="562">
        <f t="shared" si="12"/>
        <v>0</v>
      </c>
      <c r="AO86" s="562">
        <f t="shared" si="16"/>
        <v>0</v>
      </c>
      <c r="AP86" s="562">
        <f t="shared" si="16"/>
        <v>0</v>
      </c>
      <c r="AQ86" s="562">
        <f t="shared" si="16"/>
        <v>0</v>
      </c>
      <c r="AR86" s="562">
        <f t="shared" si="16"/>
        <v>0</v>
      </c>
      <c r="AS86" s="562">
        <f t="shared" si="16"/>
        <v>0</v>
      </c>
      <c r="AT86" s="562">
        <f t="shared" si="16"/>
        <v>0</v>
      </c>
      <c r="AU86" s="562">
        <f t="shared" si="16"/>
        <v>0</v>
      </c>
      <c r="AV86" s="562">
        <f t="shared" si="16"/>
        <v>0</v>
      </c>
      <c r="AW86" s="562">
        <f t="shared" si="16"/>
        <v>0</v>
      </c>
      <c r="AX86" s="548"/>
      <c r="AY86" s="548"/>
      <c r="AZ86" s="548"/>
    </row>
    <row r="87" spans="1:52" ht="11.25" hidden="1" outlineLevel="1" x14ac:dyDescent="0.25">
      <c r="A87" s="540" t="str">
        <f t="shared" si="15"/>
        <v>1</v>
      </c>
      <c r="B87" s="520" t="s">
        <v>172</v>
      </c>
      <c r="D87" s="520" t="s">
        <v>794</v>
      </c>
      <c r="L87" s="551" t="s">
        <v>795</v>
      </c>
      <c r="M87" s="560" t="s">
        <v>796</v>
      </c>
      <c r="N87" s="553" t="s">
        <v>123</v>
      </c>
      <c r="O87" s="566">
        <v>0</v>
      </c>
      <c r="P87" s="566">
        <f>SUMIFS([14]Налоги!P$15:P$42,[14]Налоги!$A$15:$A$42,$A87,[14]Налоги!$M$15:$M$42,$B87)</f>
        <v>0</v>
      </c>
      <c r="Q87" s="566">
        <f>SUMIFS([14]Налоги!Q$15:Q$42,[14]Налоги!$A$15:$A$42,$A87,[14]Налоги!$M$15:$M$42,$B87)</f>
        <v>0</v>
      </c>
      <c r="R87" s="562">
        <f t="shared" si="14"/>
        <v>0</v>
      </c>
      <c r="S87" s="566">
        <v>0</v>
      </c>
      <c r="T87" s="566">
        <v>0</v>
      </c>
      <c r="U87" s="566">
        <v>0</v>
      </c>
      <c r="V87" s="566">
        <v>0</v>
      </c>
      <c r="W87" s="566">
        <v>0</v>
      </c>
      <c r="X87" s="566">
        <f>SUMIFS([14]Налоги!W$15:W$42,[14]Налоги!$A$15:$A$42,$A87,[14]Налоги!$M$15:$M$42,$B87)</f>
        <v>0</v>
      </c>
      <c r="Y87" s="566">
        <f>SUMIFS([14]Налоги!X$15:X$42,[14]Налоги!$A$15:$A$42,$A87,[14]Налоги!$M$15:$M$42,$B87)</f>
        <v>0</v>
      </c>
      <c r="Z87" s="566">
        <f>SUMIFS([14]Налоги!Y$15:Y$42,[14]Налоги!$A$15:$A$42,$A87,[14]Налоги!$M$15:$M$42,$B87)</f>
        <v>0</v>
      </c>
      <c r="AA87" s="566">
        <f>SUMIFS([14]Налоги!Z$15:Z$42,[14]Налоги!$A$15:$A$42,$A87,[14]Налоги!$M$15:$M$42,$B87)</f>
        <v>0</v>
      </c>
      <c r="AB87" s="566">
        <f>SUMIFS([14]Налоги!AA$15:AA$42,[14]Налоги!$A$15:$A$42,$A87,[14]Налоги!$M$15:$M$42,$B87)</f>
        <v>0</v>
      </c>
      <c r="AC87" s="566">
        <f>SUMIFS([14]Налоги!AB$15:AB$42,[14]Налоги!$A$15:$A$42,$A87,[14]Налоги!$M$15:$M$42,$B87)</f>
        <v>0</v>
      </c>
      <c r="AD87" s="566">
        <v>0</v>
      </c>
      <c r="AE87" s="566">
        <v>0</v>
      </c>
      <c r="AF87" s="566">
        <v>0</v>
      </c>
      <c r="AG87" s="566">
        <v>0</v>
      </c>
      <c r="AH87" s="566">
        <f>SUMIFS([14]Налоги!AG$15:AG$42,[14]Налоги!$A$15:$A$42,$A87,[14]Налоги!$M$15:$M$42,$B87)</f>
        <v>0</v>
      </c>
      <c r="AI87" s="566">
        <f>SUMIFS([14]Налоги!AH$15:AH$42,[14]Налоги!$A$15:$A$42,$A87,[14]Налоги!$M$15:$M$42,$B87)</f>
        <v>0</v>
      </c>
      <c r="AJ87" s="566">
        <f>SUMIFS([14]Налоги!AI$15:AI$42,[14]Налоги!$A$15:$A$42,$A87,[14]Налоги!$M$15:$M$42,$B87)</f>
        <v>0</v>
      </c>
      <c r="AK87" s="566">
        <f>SUMIFS([14]Налоги!AJ$15:AJ$42,[14]Налоги!$A$15:$A$42,$A87,[14]Налоги!$M$15:$M$42,$B87)</f>
        <v>0</v>
      </c>
      <c r="AL87" s="566">
        <f>SUMIFS([14]Налоги!AK$15:AK$42,[14]Налоги!$A$15:$A$42,$A87,[14]Налоги!$M$15:$M$42,$B87)</f>
        <v>0</v>
      </c>
      <c r="AM87" s="566">
        <f>SUMIFS([14]Налоги!AL$15:AL$42,[14]Налоги!$A$15:$A$42,$A87,[14]Налоги!$M$15:$M$42,$B87)</f>
        <v>0</v>
      </c>
      <c r="AN87" s="562">
        <f t="shared" si="12"/>
        <v>0</v>
      </c>
      <c r="AO87" s="562">
        <f t="shared" si="16"/>
        <v>0</v>
      </c>
      <c r="AP87" s="562">
        <f t="shared" si="16"/>
        <v>0</v>
      </c>
      <c r="AQ87" s="562">
        <f t="shared" si="16"/>
        <v>0</v>
      </c>
      <c r="AR87" s="562">
        <f t="shared" si="16"/>
        <v>0</v>
      </c>
      <c r="AS87" s="562">
        <f t="shared" si="16"/>
        <v>0</v>
      </c>
      <c r="AT87" s="562">
        <f t="shared" si="16"/>
        <v>0</v>
      </c>
      <c r="AU87" s="562">
        <f t="shared" si="16"/>
        <v>0</v>
      </c>
      <c r="AV87" s="562">
        <f t="shared" si="16"/>
        <v>0</v>
      </c>
      <c r="AW87" s="562">
        <f t="shared" si="16"/>
        <v>0</v>
      </c>
      <c r="AX87" s="548"/>
      <c r="AY87" s="548"/>
      <c r="AZ87" s="548"/>
    </row>
    <row r="88" spans="1:52" ht="11.25" hidden="1" outlineLevel="1" x14ac:dyDescent="0.25">
      <c r="A88" s="540" t="str">
        <f t="shared" si="15"/>
        <v>1</v>
      </c>
      <c r="B88" s="520" t="s">
        <v>797</v>
      </c>
      <c r="D88" s="520" t="s">
        <v>798</v>
      </c>
      <c r="L88" s="551" t="s">
        <v>799</v>
      </c>
      <c r="M88" s="560" t="s">
        <v>800</v>
      </c>
      <c r="N88" s="553" t="s">
        <v>123</v>
      </c>
      <c r="O88" s="562">
        <f>SUMIFS([14]Налоги!O$15:O$42,[14]Налоги!$A$15:$A$42,$A88,[14]Налоги!$M$15:$M$42,$B88)</f>
        <v>79.819999999999993</v>
      </c>
      <c r="P88" s="562">
        <f>SUMIFS([14]Налоги!P$15:P$42,[14]Налоги!$A$15:$A$42,$A88,[14]Налоги!$M$15:$M$42,$B88)</f>
        <v>0</v>
      </c>
      <c r="Q88" s="562">
        <f>SUMIFS([14]Налоги!Q$15:Q$42,[14]Налоги!$A$15:$A$42,$A88,[14]Налоги!$M$15:$M$42,$B88)</f>
        <v>0</v>
      </c>
      <c r="R88" s="562">
        <f>Q88-P88</f>
        <v>0</v>
      </c>
      <c r="S88" s="562">
        <f>SUMIFS([14]Налоги!R$15:R$42,[14]Налоги!$A$15:$A$42,$A88,[14]Налоги!$M$15:$M$42,$B88)</f>
        <v>89.7</v>
      </c>
      <c r="T88" s="562">
        <f>SUMIFS([14]Налоги!S$15:S$42,[14]Налоги!$A$15:$A$42,$A88,[14]Налоги!$M$15:$M$42,$B88)</f>
        <v>110.6</v>
      </c>
      <c r="U88" s="562">
        <f>SUMIFS([14]Налоги!T$15:T$42,[14]Налоги!$A$15:$A$42,$A88,[14]Налоги!$M$15:$M$42,$B88)</f>
        <v>0</v>
      </c>
      <c r="V88" s="562">
        <f>SUMIFS([14]Налоги!U$15:U$42,[14]Налоги!$A$15:$A$42,$A88,[14]Налоги!$M$15:$M$42,$B88)</f>
        <v>0</v>
      </c>
      <c r="W88" s="562">
        <f>SUMIFS([14]Налоги!V$15:V$42,[14]Налоги!$A$15:$A$42,$A88,[14]Налоги!$M$15:$M$42,$B88)</f>
        <v>0</v>
      </c>
      <c r="X88" s="562">
        <f>SUMIFS([14]Налоги!W$15:W$42,[14]Налоги!$A$15:$A$42,$A88,[14]Налоги!$M$15:$M$42,$B88)</f>
        <v>0</v>
      </c>
      <c r="Y88" s="562">
        <f>SUMIFS([14]Налоги!X$15:X$42,[14]Налоги!$A$15:$A$42,$A88,[14]Налоги!$M$15:$M$42,$B88)</f>
        <v>0</v>
      </c>
      <c r="Z88" s="562">
        <f>SUMIFS([14]Налоги!Y$15:Y$42,[14]Налоги!$A$15:$A$42,$A88,[14]Налоги!$M$15:$M$42,$B88)</f>
        <v>0</v>
      </c>
      <c r="AA88" s="562">
        <f>SUMIFS([14]Налоги!Z$15:Z$42,[14]Налоги!$A$15:$A$42,$A88,[14]Налоги!$M$15:$M$42,$B88)</f>
        <v>0</v>
      </c>
      <c r="AB88" s="562">
        <f>SUMIFS([14]Налоги!AA$15:AA$42,[14]Налоги!$A$15:$A$42,$A88,[14]Налоги!$M$15:$M$42,$B88)</f>
        <v>0</v>
      </c>
      <c r="AC88" s="562">
        <f>SUMIFS([14]Налоги!AB$15:AB$42,[14]Налоги!$A$15:$A$42,$A88,[14]Налоги!$M$15:$M$42,$B88)</f>
        <v>0</v>
      </c>
      <c r="AD88" s="562">
        <f>SUMIFS([14]Налоги!AC$15:AC$42,[14]Налоги!$A$15:$A$42,$A88,[14]Налоги!$M$15:$M$42,$B88)</f>
        <v>110.6</v>
      </c>
      <c r="AE88" s="562">
        <f>SUMIFS([14]Налоги!AD$15:AD$42,[14]Налоги!$A$15:$A$42,$A88,[14]Налоги!$M$15:$M$42,$B88)</f>
        <v>118.08</v>
      </c>
      <c r="AF88" s="562">
        <f>SUMIFS([14]Налоги!AE$15:AE$42,[14]Налоги!$A$15:$A$42,$A88,[14]Налоги!$M$15:$M$42,$B88)</f>
        <v>120.48</v>
      </c>
      <c r="AG88" s="562">
        <f>SUMIFS([14]Налоги!AF$15:AF$42,[14]Налоги!$A$15:$A$42,$A88,[14]Налоги!$M$15:$M$42,$B88)</f>
        <v>123.72</v>
      </c>
      <c r="AH88" s="562">
        <f>SUMIFS([14]Налоги!AG$15:AG$42,[14]Налоги!$A$15:$A$42,$A88,[14]Налоги!$M$15:$M$42,$B88)</f>
        <v>0</v>
      </c>
      <c r="AI88" s="562">
        <f>SUMIFS([14]Налоги!AH$15:AH$42,[14]Налоги!$A$15:$A$42,$A88,[14]Налоги!$M$15:$M$42,$B88)</f>
        <v>0</v>
      </c>
      <c r="AJ88" s="562">
        <f>SUMIFS([14]Налоги!AI$15:AI$42,[14]Налоги!$A$15:$A$42,$A88,[14]Налоги!$M$15:$M$42,$B88)</f>
        <v>0</v>
      </c>
      <c r="AK88" s="562">
        <f>SUMIFS([14]Налоги!AJ$15:AJ$42,[14]Налоги!$A$15:$A$42,$A88,[14]Налоги!$M$15:$M$42,$B88)</f>
        <v>0</v>
      </c>
      <c r="AL88" s="562">
        <f>SUMIFS([14]Налоги!AK$15:AK$42,[14]Налоги!$A$15:$A$42,$A88,[14]Налоги!$M$15:$M$42,$B88)</f>
        <v>0</v>
      </c>
      <c r="AM88" s="562">
        <f>SUMIFS([14]Налоги!AL$15:AL$42,[14]Налоги!$A$15:$A$42,$A88,[14]Налоги!$M$15:$M$42,$B88)</f>
        <v>0</v>
      </c>
      <c r="AN88" s="562">
        <f t="shared" si="12"/>
        <v>23.299888517279811</v>
      </c>
      <c r="AO88" s="562">
        <f t="shared" si="16"/>
        <v>6.7631103074141095</v>
      </c>
      <c r="AP88" s="562">
        <f t="shared" si="16"/>
        <v>2.0325203252032567</v>
      </c>
      <c r="AQ88" s="562">
        <f t="shared" si="16"/>
        <v>2.6892430278884416</v>
      </c>
      <c r="AR88" s="562">
        <f t="shared" si="16"/>
        <v>-100</v>
      </c>
      <c r="AS88" s="562">
        <f t="shared" si="16"/>
        <v>0</v>
      </c>
      <c r="AT88" s="562">
        <f t="shared" si="16"/>
        <v>0</v>
      </c>
      <c r="AU88" s="562">
        <f t="shared" si="16"/>
        <v>0</v>
      </c>
      <c r="AV88" s="562">
        <f t="shared" si="16"/>
        <v>0</v>
      </c>
      <c r="AW88" s="562">
        <f t="shared" si="16"/>
        <v>0</v>
      </c>
      <c r="AX88" s="548"/>
      <c r="AY88" s="548"/>
      <c r="AZ88" s="548"/>
    </row>
    <row r="89" spans="1:52" ht="11.25" hidden="1" outlineLevel="1" x14ac:dyDescent="0.25">
      <c r="A89" s="540" t="str">
        <f t="shared" si="15"/>
        <v>1</v>
      </c>
      <c r="B89" s="520" t="s">
        <v>180</v>
      </c>
      <c r="D89" s="520" t="s">
        <v>801</v>
      </c>
      <c r="L89" s="551" t="s">
        <v>802</v>
      </c>
      <c r="M89" s="586" t="s">
        <v>803</v>
      </c>
      <c r="N89" s="553" t="s">
        <v>123</v>
      </c>
      <c r="O89" s="562">
        <f>SUMIFS([14]Налоги!O$15:O$42,[14]Налоги!$A$15:$A$42,$A89,[14]Налоги!$M$15:$M$42,$B89)</f>
        <v>0</v>
      </c>
      <c r="P89" s="562">
        <f>SUMIFS([14]Налоги!P$15:P$42,[14]Налоги!$A$15:$A$42,$A89,[14]Налоги!$M$15:$M$42,$B89)</f>
        <v>0</v>
      </c>
      <c r="Q89" s="562">
        <f>SUMIFS([14]Налоги!Q$15:Q$42,[14]Налоги!$A$15:$A$42,$A89,[14]Налоги!$M$15:$M$42,$B89)</f>
        <v>0</v>
      </c>
      <c r="R89" s="562">
        <f t="shared" si="14"/>
        <v>0</v>
      </c>
      <c r="S89" s="562">
        <f>SUMIFS([14]Налоги!R$15:R$42,[14]Налоги!$A$15:$A$42,$A89,[14]Налоги!$M$15:$M$42,$B89)</f>
        <v>0</v>
      </c>
      <c r="T89" s="562">
        <f>SUMIFS([14]Налоги!S$15:S$42,[14]Налоги!$A$15:$A$42,$A89,[14]Налоги!$M$15:$M$42,$B89)</f>
        <v>0</v>
      </c>
      <c r="U89" s="562">
        <f>SUMIFS([14]Налоги!T$15:T$42,[14]Налоги!$A$15:$A$42,$A89,[14]Налоги!$M$15:$M$42,$B89)</f>
        <v>0</v>
      </c>
      <c r="V89" s="562">
        <f>SUMIFS([14]Налоги!U$15:U$42,[14]Налоги!$A$15:$A$42,$A89,[14]Налоги!$M$15:$M$42,$B89)</f>
        <v>0</v>
      </c>
      <c r="W89" s="562">
        <f>SUMIFS([14]Налоги!V$15:V$42,[14]Налоги!$A$15:$A$42,$A89,[14]Налоги!$M$15:$M$42,$B89)</f>
        <v>0</v>
      </c>
      <c r="X89" s="562">
        <f>SUMIFS([14]Налоги!W$15:W$42,[14]Налоги!$A$15:$A$42,$A89,[14]Налоги!$M$15:$M$42,$B89)</f>
        <v>0</v>
      </c>
      <c r="Y89" s="562">
        <f>SUMIFS([14]Налоги!X$15:X$42,[14]Налоги!$A$15:$A$42,$A89,[14]Налоги!$M$15:$M$42,$B89)</f>
        <v>0</v>
      </c>
      <c r="Z89" s="562">
        <f>SUMIFS([14]Налоги!Y$15:Y$42,[14]Налоги!$A$15:$A$42,$A89,[14]Налоги!$M$15:$M$42,$B89)</f>
        <v>0</v>
      </c>
      <c r="AA89" s="562">
        <f>SUMIFS([14]Налоги!Z$15:Z$42,[14]Налоги!$A$15:$A$42,$A89,[14]Налоги!$M$15:$M$42,$B89)</f>
        <v>0</v>
      </c>
      <c r="AB89" s="562">
        <f>SUMIFS([14]Налоги!AA$15:AA$42,[14]Налоги!$A$15:$A$42,$A89,[14]Налоги!$M$15:$M$42,$B89)</f>
        <v>0</v>
      </c>
      <c r="AC89" s="562">
        <f>SUMIFS([14]Налоги!AB$15:AB$42,[14]Налоги!$A$15:$A$42,$A89,[14]Налоги!$M$15:$M$42,$B89)</f>
        <v>0</v>
      </c>
      <c r="AD89" s="562">
        <f>SUMIFS([14]Налоги!AC$15:AC$42,[14]Налоги!$A$15:$A$42,$A89,[14]Налоги!$M$15:$M$42,$B89)</f>
        <v>0</v>
      </c>
      <c r="AE89" s="562">
        <f>SUMIFS([14]Налоги!AD$15:AD$42,[14]Налоги!$A$15:$A$42,$A89,[14]Налоги!$M$15:$M$42,$B89)</f>
        <v>0</v>
      </c>
      <c r="AF89" s="562">
        <f>SUMIFS([14]Налоги!AE$15:AE$42,[14]Налоги!$A$15:$A$42,$A89,[14]Налоги!$M$15:$M$42,$B89)</f>
        <v>0</v>
      </c>
      <c r="AG89" s="562">
        <f>SUMIFS([14]Налоги!AF$15:AF$42,[14]Налоги!$A$15:$A$42,$A89,[14]Налоги!$M$15:$M$42,$B89)</f>
        <v>0</v>
      </c>
      <c r="AH89" s="562">
        <f>SUMIFS([14]Налоги!AG$15:AG$42,[14]Налоги!$A$15:$A$42,$A89,[14]Налоги!$M$15:$M$42,$B89)</f>
        <v>0</v>
      </c>
      <c r="AI89" s="562">
        <f>SUMIFS([14]Налоги!AH$15:AH$42,[14]Налоги!$A$15:$A$42,$A89,[14]Налоги!$M$15:$M$42,$B89)</f>
        <v>0</v>
      </c>
      <c r="AJ89" s="562">
        <f>SUMIFS([14]Налоги!AI$15:AI$42,[14]Налоги!$A$15:$A$42,$A89,[14]Налоги!$M$15:$M$42,$B89)</f>
        <v>0</v>
      </c>
      <c r="AK89" s="562">
        <f>SUMIFS([14]Налоги!AJ$15:AJ$42,[14]Налоги!$A$15:$A$42,$A89,[14]Налоги!$M$15:$M$42,$B89)</f>
        <v>0</v>
      </c>
      <c r="AL89" s="562">
        <f>SUMIFS([14]Налоги!AK$15:AK$42,[14]Налоги!$A$15:$A$42,$A89,[14]Налоги!$M$15:$M$42,$B89)</f>
        <v>0</v>
      </c>
      <c r="AM89" s="562">
        <f>SUMIFS([14]Налоги!AL$15:AL$42,[14]Налоги!$A$15:$A$42,$A89,[14]Налоги!$M$15:$M$42,$B89)</f>
        <v>0</v>
      </c>
      <c r="AN89" s="562">
        <f t="shared" si="12"/>
        <v>0</v>
      </c>
      <c r="AO89" s="562">
        <f t="shared" si="16"/>
        <v>0</v>
      </c>
      <c r="AP89" s="562">
        <f t="shared" si="16"/>
        <v>0</v>
      </c>
      <c r="AQ89" s="562">
        <f t="shared" si="16"/>
        <v>0</v>
      </c>
      <c r="AR89" s="562">
        <f t="shared" si="16"/>
        <v>0</v>
      </c>
      <c r="AS89" s="562">
        <f t="shared" si="16"/>
        <v>0</v>
      </c>
      <c r="AT89" s="562">
        <f t="shared" si="16"/>
        <v>0</v>
      </c>
      <c r="AU89" s="562">
        <f t="shared" si="16"/>
        <v>0</v>
      </c>
      <c r="AV89" s="562">
        <f t="shared" si="16"/>
        <v>0</v>
      </c>
      <c r="AW89" s="562">
        <f t="shared" si="16"/>
        <v>0</v>
      </c>
      <c r="AX89" s="548"/>
      <c r="AY89" s="548"/>
      <c r="AZ89" s="548"/>
    </row>
    <row r="90" spans="1:52" ht="67.5" hidden="1" outlineLevel="1" x14ac:dyDescent="0.25">
      <c r="A90" s="540" t="str">
        <f t="shared" si="15"/>
        <v>1</v>
      </c>
      <c r="B90" s="520" t="s">
        <v>804</v>
      </c>
      <c r="D90" s="520" t="s">
        <v>805</v>
      </c>
      <c r="L90" s="551" t="s">
        <v>806</v>
      </c>
      <c r="M90" s="587" t="s">
        <v>807</v>
      </c>
      <c r="N90" s="553" t="s">
        <v>123</v>
      </c>
      <c r="O90" s="588"/>
      <c r="P90" s="588"/>
      <c r="Q90" s="588"/>
      <c r="R90" s="562">
        <f t="shared" si="14"/>
        <v>0</v>
      </c>
      <c r="S90" s="588"/>
      <c r="T90" s="588"/>
      <c r="U90" s="588"/>
      <c r="V90" s="588"/>
      <c r="W90" s="588"/>
      <c r="X90" s="588"/>
      <c r="Y90" s="588"/>
      <c r="Z90" s="588"/>
      <c r="AA90" s="588"/>
      <c r="AB90" s="588"/>
      <c r="AC90" s="588"/>
      <c r="AD90" s="588"/>
      <c r="AE90" s="588"/>
      <c r="AF90" s="588"/>
      <c r="AG90" s="588"/>
      <c r="AH90" s="588"/>
      <c r="AI90" s="588"/>
      <c r="AJ90" s="588"/>
      <c r="AK90" s="588"/>
      <c r="AL90" s="588"/>
      <c r="AM90" s="588"/>
      <c r="AN90" s="562">
        <f t="shared" si="12"/>
        <v>0</v>
      </c>
      <c r="AO90" s="562">
        <f t="shared" si="16"/>
        <v>0</v>
      </c>
      <c r="AP90" s="562">
        <f t="shared" si="16"/>
        <v>0</v>
      </c>
      <c r="AQ90" s="562">
        <f t="shared" si="16"/>
        <v>0</v>
      </c>
      <c r="AR90" s="562">
        <f t="shared" si="16"/>
        <v>0</v>
      </c>
      <c r="AS90" s="562">
        <f t="shared" si="16"/>
        <v>0</v>
      </c>
      <c r="AT90" s="562">
        <f t="shared" si="16"/>
        <v>0</v>
      </c>
      <c r="AU90" s="562">
        <f t="shared" si="16"/>
        <v>0</v>
      </c>
      <c r="AV90" s="562">
        <f t="shared" si="16"/>
        <v>0</v>
      </c>
      <c r="AW90" s="562">
        <f t="shared" si="16"/>
        <v>0</v>
      </c>
      <c r="AX90" s="548"/>
      <c r="AY90" s="548"/>
      <c r="AZ90" s="548"/>
    </row>
    <row r="91" spans="1:52" ht="11.25" hidden="1" outlineLevel="1" x14ac:dyDescent="0.25">
      <c r="A91" s="540" t="str">
        <f t="shared" si="15"/>
        <v>1</v>
      </c>
      <c r="B91" s="520" t="s">
        <v>808</v>
      </c>
      <c r="D91" s="520" t="s">
        <v>809</v>
      </c>
      <c r="L91" s="551" t="s">
        <v>810</v>
      </c>
      <c r="M91" s="552" t="s">
        <v>808</v>
      </c>
      <c r="N91" s="553" t="s">
        <v>123</v>
      </c>
      <c r="O91" s="562">
        <f>SUMIFS([14]Аренда!O$15:O$32,[14]Аренда!$A$15:$A$32,$A91,[14]Аренда!$M$15:$M$32,"Арендная и концессионная плата. Лизинговые платежи")</f>
        <v>0</v>
      </c>
      <c r="P91" s="562">
        <f>SUMIFS([14]Аренда!P$15:P$32,[14]Аренда!$A$15:$A$32,$A91,[14]Аренда!$M$15:$M$32,"Арендная и концессионная плата. Лизинговые платежи")</f>
        <v>0</v>
      </c>
      <c r="Q91" s="562">
        <f>SUMIFS([14]Аренда!Q$15:Q$32,[14]Аренда!$A$15:$A$32,$A91,[14]Аренда!$M$15:$M$32,"Арендная и концессионная плата. Лизинговые платежи")</f>
        <v>0</v>
      </c>
      <c r="R91" s="562">
        <f t="shared" si="14"/>
        <v>0</v>
      </c>
      <c r="S91" s="562">
        <f>SUMIFS([14]Аренда!R$15:R$32,[14]Аренда!$A$15:$A$32,$A91,[14]Аренда!$M$15:$M$32,"Арендная и концессионная плата. Лизинговые платежи")</f>
        <v>0</v>
      </c>
      <c r="T91" s="562">
        <f>SUMIFS([14]Аренда!S$15:S$32,[14]Аренда!$A$15:$A$32,$A91,[14]Аренда!$M$15:$M$32,"Арендная и концессионная плата. Лизинговые платежи")</f>
        <v>0</v>
      </c>
      <c r="U91" s="562">
        <f>SUMIFS([14]Аренда!T$15:T$32,[14]Аренда!$A$15:$A$32,$A91,[14]Аренда!$M$15:$M$32,"Арендная и концессионная плата. Лизинговые платежи")</f>
        <v>0</v>
      </c>
      <c r="V91" s="562">
        <f>SUMIFS([14]Аренда!U$15:U$32,[14]Аренда!$A$15:$A$32,$A91,[14]Аренда!$M$15:$M$32,"Арендная и концессионная плата. Лизинговые платежи")</f>
        <v>0</v>
      </c>
      <c r="W91" s="562">
        <f>SUMIFS([14]Аренда!V$15:V$32,[14]Аренда!$A$15:$A$32,$A91,[14]Аренда!$M$15:$M$32,"Арендная и концессионная плата. Лизинговые платежи")</f>
        <v>0</v>
      </c>
      <c r="X91" s="562">
        <f>SUMIFS([14]Аренда!W$15:W$32,[14]Аренда!$A$15:$A$32,$A91,[14]Аренда!$M$15:$M$32,"Арендная и концессионная плата. Лизинговые платежи")</f>
        <v>0</v>
      </c>
      <c r="Y91" s="562">
        <f>SUMIFS([14]Аренда!X$15:X$32,[14]Аренда!$A$15:$A$32,$A91,[14]Аренда!$M$15:$M$32,"Арендная и концессионная плата. Лизинговые платежи")</f>
        <v>0</v>
      </c>
      <c r="Z91" s="562">
        <f>SUMIFS([14]Аренда!Y$15:Y$32,[14]Аренда!$A$15:$A$32,$A91,[14]Аренда!$M$15:$M$32,"Арендная и концессионная плата. Лизинговые платежи")</f>
        <v>0</v>
      </c>
      <c r="AA91" s="562">
        <f>SUMIFS([14]Аренда!Z$15:Z$32,[14]Аренда!$A$15:$A$32,$A91,[14]Аренда!$M$15:$M$32,"Арендная и концессионная плата. Лизинговые платежи")</f>
        <v>0</v>
      </c>
      <c r="AB91" s="562">
        <f>SUMIFS([14]Аренда!AA$15:AA$32,[14]Аренда!$A$15:$A$32,$A91,[14]Аренда!$M$15:$M$32,"Арендная и концессионная плата. Лизинговые платежи")</f>
        <v>0</v>
      </c>
      <c r="AC91" s="562">
        <f>SUMIFS([14]Аренда!AB$15:AB$32,[14]Аренда!$A$15:$A$32,$A91,[14]Аренда!$M$15:$M$32,"Арендная и концессионная плата. Лизинговые платежи")</f>
        <v>0</v>
      </c>
      <c r="AD91" s="562">
        <f>SUMIFS([14]Аренда!AC$15:AC$32,[14]Аренда!$A$15:$A$32,$A91,[14]Аренда!$M$15:$M$32,"Арендная и концессионная плата. Лизинговые платежи")</f>
        <v>0</v>
      </c>
      <c r="AE91" s="562">
        <f>SUMIFS([14]Аренда!AD$15:AD$32,[14]Аренда!$A$15:$A$32,$A91,[14]Аренда!$M$15:$M$32,"Арендная и концессионная плата. Лизинговые платежи")</f>
        <v>0</v>
      </c>
      <c r="AF91" s="562">
        <f>SUMIFS([14]Аренда!AE$15:AE$32,[14]Аренда!$A$15:$A$32,$A91,[14]Аренда!$M$15:$M$32,"Арендная и концессионная плата. Лизинговые платежи")</f>
        <v>0</v>
      </c>
      <c r="AG91" s="562">
        <f>SUMIFS([14]Аренда!AF$15:AF$32,[14]Аренда!$A$15:$A$32,$A91,[14]Аренда!$M$15:$M$32,"Арендная и концессионная плата. Лизинговые платежи")</f>
        <v>0</v>
      </c>
      <c r="AH91" s="562">
        <f>SUMIFS([14]Аренда!AG$15:AG$32,[14]Аренда!$A$15:$A$32,$A91,[14]Аренда!$M$15:$M$32,"Арендная и концессионная плата. Лизинговые платежи")</f>
        <v>0</v>
      </c>
      <c r="AI91" s="562">
        <f>SUMIFS([14]Аренда!AH$15:AH$32,[14]Аренда!$A$15:$A$32,$A91,[14]Аренда!$M$15:$M$32,"Арендная и концессионная плата. Лизинговые платежи")</f>
        <v>0</v>
      </c>
      <c r="AJ91" s="562">
        <f>SUMIFS([14]Аренда!AI$15:AI$32,[14]Аренда!$A$15:$A$32,$A91,[14]Аренда!$M$15:$M$32,"Арендная и концессионная плата. Лизинговые платежи")</f>
        <v>0</v>
      </c>
      <c r="AK91" s="562">
        <f>SUMIFS([14]Аренда!AJ$15:AJ$32,[14]Аренда!$A$15:$A$32,$A91,[14]Аренда!$M$15:$M$32,"Арендная и концессионная плата. Лизинговые платежи")</f>
        <v>0</v>
      </c>
      <c r="AL91" s="562">
        <f>SUMIFS([14]Аренда!AK$15:AK$32,[14]Аренда!$A$15:$A$32,$A91,[14]Аренда!$M$15:$M$32,"Арендная и концессионная плата. Лизинговые платежи")</f>
        <v>0</v>
      </c>
      <c r="AM91" s="562">
        <f>SUMIFS([14]Аренда!AL$15:AL$32,[14]Аренда!$A$15:$A$32,$A91,[14]Аренда!$M$15:$M$32,"Арендная и концессионная плата. Лизинговые платежи")</f>
        <v>0</v>
      </c>
      <c r="AN91" s="562">
        <f t="shared" si="12"/>
        <v>0</v>
      </c>
      <c r="AO91" s="562">
        <f t="shared" si="16"/>
        <v>0</v>
      </c>
      <c r="AP91" s="562">
        <f t="shared" si="16"/>
        <v>0</v>
      </c>
      <c r="AQ91" s="562">
        <f t="shared" si="16"/>
        <v>0</v>
      </c>
      <c r="AR91" s="562">
        <f t="shared" si="16"/>
        <v>0</v>
      </c>
      <c r="AS91" s="562">
        <f t="shared" si="16"/>
        <v>0</v>
      </c>
      <c r="AT91" s="562">
        <f t="shared" si="16"/>
        <v>0</v>
      </c>
      <c r="AU91" s="562">
        <f t="shared" si="16"/>
        <v>0</v>
      </c>
      <c r="AV91" s="562">
        <f t="shared" si="16"/>
        <v>0</v>
      </c>
      <c r="AW91" s="562">
        <f t="shared" si="16"/>
        <v>0</v>
      </c>
      <c r="AX91" s="548"/>
      <c r="AY91" s="548"/>
      <c r="AZ91" s="548"/>
    </row>
    <row r="92" spans="1:52" ht="11.25" hidden="1" outlineLevel="1" x14ac:dyDescent="0.25">
      <c r="A92" s="540" t="str">
        <f t="shared" si="15"/>
        <v>1</v>
      </c>
      <c r="D92" s="520" t="s">
        <v>811</v>
      </c>
      <c r="L92" s="551" t="s">
        <v>812</v>
      </c>
      <c r="M92" s="552" t="s">
        <v>193</v>
      </c>
      <c r="N92" s="553" t="s">
        <v>123</v>
      </c>
      <c r="O92" s="566">
        <v>0</v>
      </c>
      <c r="P92" s="566"/>
      <c r="Q92" s="566"/>
      <c r="R92" s="562">
        <f>Q92-P92</f>
        <v>0</v>
      </c>
      <c r="S92" s="566">
        <v>0</v>
      </c>
      <c r="T92" s="566">
        <v>0</v>
      </c>
      <c r="U92" s="566">
        <v>0</v>
      </c>
      <c r="V92" s="566">
        <v>0</v>
      </c>
      <c r="W92" s="566">
        <v>0</v>
      </c>
      <c r="X92" s="566"/>
      <c r="Y92" s="566"/>
      <c r="Z92" s="566"/>
      <c r="AA92" s="566"/>
      <c r="AB92" s="566"/>
      <c r="AC92" s="566"/>
      <c r="AD92" s="566">
        <v>0</v>
      </c>
      <c r="AE92" s="566">
        <v>0</v>
      </c>
      <c r="AF92" s="566">
        <v>0</v>
      </c>
      <c r="AG92" s="566">
        <v>0</v>
      </c>
      <c r="AH92" s="566"/>
      <c r="AI92" s="566"/>
      <c r="AJ92" s="566"/>
      <c r="AK92" s="566"/>
      <c r="AL92" s="566"/>
      <c r="AM92" s="566"/>
      <c r="AN92" s="562">
        <f t="shared" si="12"/>
        <v>0</v>
      </c>
      <c r="AO92" s="562">
        <f t="shared" si="16"/>
        <v>0</v>
      </c>
      <c r="AP92" s="562">
        <f t="shared" si="16"/>
        <v>0</v>
      </c>
      <c r="AQ92" s="562">
        <f t="shared" si="16"/>
        <v>0</v>
      </c>
      <c r="AR92" s="562">
        <f t="shared" si="16"/>
        <v>0</v>
      </c>
      <c r="AS92" s="562">
        <f t="shared" si="16"/>
        <v>0</v>
      </c>
      <c r="AT92" s="562">
        <f t="shared" si="16"/>
        <v>0</v>
      </c>
      <c r="AU92" s="562">
        <f t="shared" si="16"/>
        <v>0</v>
      </c>
      <c r="AV92" s="562">
        <f t="shared" si="16"/>
        <v>0</v>
      </c>
      <c r="AW92" s="562">
        <f t="shared" si="16"/>
        <v>0</v>
      </c>
      <c r="AX92" s="548"/>
      <c r="AY92" s="548"/>
      <c r="AZ92" s="548"/>
    </row>
    <row r="93" spans="1:52" ht="11.25" hidden="1" outlineLevel="1" x14ac:dyDescent="0.25">
      <c r="A93" s="540" t="str">
        <f t="shared" si="15"/>
        <v>1</v>
      </c>
      <c r="B93" s="520" t="s">
        <v>813</v>
      </c>
      <c r="D93" s="520" t="s">
        <v>814</v>
      </c>
      <c r="L93" s="551" t="s">
        <v>815</v>
      </c>
      <c r="M93" s="560" t="s">
        <v>813</v>
      </c>
      <c r="N93" s="553" t="s">
        <v>123</v>
      </c>
      <c r="O93" s="566">
        <v>0</v>
      </c>
      <c r="P93" s="566"/>
      <c r="Q93" s="566"/>
      <c r="R93" s="562">
        <f t="shared" si="14"/>
        <v>0</v>
      </c>
      <c r="S93" s="566">
        <v>0</v>
      </c>
      <c r="T93" s="566"/>
      <c r="U93" s="566"/>
      <c r="V93" s="566"/>
      <c r="W93" s="566"/>
      <c r="X93" s="566"/>
      <c r="Y93" s="566"/>
      <c r="Z93" s="566"/>
      <c r="AA93" s="566"/>
      <c r="AB93" s="566"/>
      <c r="AC93" s="566"/>
      <c r="AD93" s="566"/>
      <c r="AE93" s="566"/>
      <c r="AF93" s="566"/>
      <c r="AG93" s="566"/>
      <c r="AH93" s="566"/>
      <c r="AI93" s="566"/>
      <c r="AJ93" s="566"/>
      <c r="AK93" s="566"/>
      <c r="AL93" s="566"/>
      <c r="AM93" s="566"/>
      <c r="AN93" s="562">
        <f t="shared" si="12"/>
        <v>0</v>
      </c>
      <c r="AO93" s="562">
        <f t="shared" si="16"/>
        <v>0</v>
      </c>
      <c r="AP93" s="562">
        <f t="shared" si="16"/>
        <v>0</v>
      </c>
      <c r="AQ93" s="562">
        <f t="shared" si="16"/>
        <v>0</v>
      </c>
      <c r="AR93" s="562">
        <f t="shared" si="16"/>
        <v>0</v>
      </c>
      <c r="AS93" s="562">
        <f t="shared" si="16"/>
        <v>0</v>
      </c>
      <c r="AT93" s="562">
        <f t="shared" si="16"/>
        <v>0</v>
      </c>
      <c r="AU93" s="562">
        <f t="shared" si="16"/>
        <v>0</v>
      </c>
      <c r="AV93" s="562">
        <f t="shared" si="16"/>
        <v>0</v>
      </c>
      <c r="AW93" s="562">
        <f t="shared" si="16"/>
        <v>0</v>
      </c>
      <c r="AX93" s="548"/>
      <c r="AY93" s="548"/>
      <c r="AZ93" s="548"/>
    </row>
    <row r="94" spans="1:52" ht="11.25" hidden="1" outlineLevel="1" x14ac:dyDescent="0.25">
      <c r="A94" s="540" t="str">
        <f t="shared" si="15"/>
        <v>1</v>
      </c>
      <c r="B94" s="520" t="s">
        <v>195</v>
      </c>
      <c r="D94" s="520" t="s">
        <v>816</v>
      </c>
      <c r="L94" s="551" t="s">
        <v>817</v>
      </c>
      <c r="M94" s="552" t="s">
        <v>195</v>
      </c>
      <c r="N94" s="553" t="s">
        <v>123</v>
      </c>
      <c r="O94" s="566">
        <v>0</v>
      </c>
      <c r="P94" s="566"/>
      <c r="Q94" s="566"/>
      <c r="R94" s="562">
        <f t="shared" si="14"/>
        <v>0</v>
      </c>
      <c r="S94" s="566">
        <v>0</v>
      </c>
      <c r="T94" s="566">
        <v>0</v>
      </c>
      <c r="U94" s="566">
        <v>0</v>
      </c>
      <c r="V94" s="566">
        <v>0</v>
      </c>
      <c r="W94" s="566">
        <v>0</v>
      </c>
      <c r="X94" s="566">
        <f>SUMIFS([14]Экономия_корр!S$15:S$32,[14]Экономия_корр!$A$15:$A$32,$A94,[14]Экономия_корр!$M$15:$M$32,"Экономия расходов с учетом ИПЦ")</f>
        <v>0</v>
      </c>
      <c r="Y94" s="566">
        <f>SUMIFS([14]Экономия_корр!T$15:T$32,[14]Экономия_корр!$A$15:$A$32,$A94,[14]Экономия_корр!$M$15:$M$32,"Экономия расходов с учетом ИПЦ")</f>
        <v>0</v>
      </c>
      <c r="Z94" s="566">
        <f>SUMIFS([14]Экономия_корр!U$15:U$32,[14]Экономия_корр!$A$15:$A$32,$A94,[14]Экономия_корр!$M$15:$M$32,"Экономия расходов с учетом ИПЦ")</f>
        <v>0</v>
      </c>
      <c r="AA94" s="566">
        <f>SUMIFS([14]Экономия_корр!V$15:V$32,[14]Экономия_корр!$A$15:$A$32,$A94,[14]Экономия_корр!$M$15:$M$32,"Экономия расходов с учетом ИПЦ")</f>
        <v>0</v>
      </c>
      <c r="AB94" s="566">
        <f>SUMIFS([14]Экономия_корр!W$15:W$32,[14]Экономия_корр!$A$15:$A$32,$A94,[14]Экономия_корр!$M$15:$M$32,"Экономия расходов с учетом ИПЦ")</f>
        <v>0</v>
      </c>
      <c r="AC94" s="566">
        <f>SUMIFS([14]Экономия_корр!X$15:X$32,[14]Экономия_корр!$A$15:$A$32,$A94,[14]Экономия_корр!$M$15:$M$32,"Экономия расходов с учетом ИПЦ")</f>
        <v>0</v>
      </c>
      <c r="AD94" s="566">
        <v>0</v>
      </c>
      <c r="AE94" s="566">
        <v>0</v>
      </c>
      <c r="AF94" s="566">
        <v>0</v>
      </c>
      <c r="AG94" s="566">
        <v>0</v>
      </c>
      <c r="AH94" s="566">
        <f>SUMIFS([14]Экономия_корр!AC$15:AC$32,[14]Экономия_корр!$A$15:$A$32,$A94,[14]Экономия_корр!$M$15:$M$32,"Экономия расходов с учетом ИПЦ")</f>
        <v>0</v>
      </c>
      <c r="AI94" s="566">
        <f>SUMIFS([14]Экономия_корр!AD$15:AD$32,[14]Экономия_корр!$A$15:$A$32,$A94,[14]Экономия_корр!$M$15:$M$32,"Экономия расходов с учетом ИПЦ")</f>
        <v>0</v>
      </c>
      <c r="AJ94" s="566">
        <f>SUMIFS([14]Экономия_корр!AE$15:AE$32,[14]Экономия_корр!$A$15:$A$32,$A94,[14]Экономия_корр!$M$15:$M$32,"Экономия расходов с учетом ИПЦ")</f>
        <v>0</v>
      </c>
      <c r="AK94" s="566">
        <f>SUMIFS([14]Экономия_корр!AF$15:AF$32,[14]Экономия_корр!$A$15:$A$32,$A94,[14]Экономия_корр!$M$15:$M$32,"Экономия расходов с учетом ИПЦ")</f>
        <v>0</v>
      </c>
      <c r="AL94" s="566">
        <f>SUMIFS([14]Экономия_корр!AG$15:AG$32,[14]Экономия_корр!$A$15:$A$32,$A94,[14]Экономия_корр!$M$15:$M$32,"Экономия расходов с учетом ИПЦ")</f>
        <v>0</v>
      </c>
      <c r="AM94" s="566">
        <f>SUMIFS([14]Экономия_корр!AH$15:AH$32,[14]Экономия_корр!$A$15:$A$32,$A94,[14]Экономия_корр!$M$15:$M$32,"Экономия расходов с учетом ИПЦ")</f>
        <v>0</v>
      </c>
      <c r="AN94" s="562">
        <f t="shared" si="12"/>
        <v>0</v>
      </c>
      <c r="AO94" s="562">
        <f t="shared" si="16"/>
        <v>0</v>
      </c>
      <c r="AP94" s="562">
        <f t="shared" si="16"/>
        <v>0</v>
      </c>
      <c r="AQ94" s="562">
        <f t="shared" si="16"/>
        <v>0</v>
      </c>
      <c r="AR94" s="562">
        <f t="shared" si="16"/>
        <v>0</v>
      </c>
      <c r="AS94" s="562">
        <f t="shared" si="16"/>
        <v>0</v>
      </c>
      <c r="AT94" s="562">
        <f t="shared" si="16"/>
        <v>0</v>
      </c>
      <c r="AU94" s="562">
        <f t="shared" si="16"/>
        <v>0</v>
      </c>
      <c r="AV94" s="562">
        <f t="shared" si="16"/>
        <v>0</v>
      </c>
      <c r="AW94" s="562">
        <f t="shared" si="16"/>
        <v>0</v>
      </c>
      <c r="AX94" s="548"/>
      <c r="AY94" s="548"/>
      <c r="AZ94" s="548"/>
    </row>
    <row r="95" spans="1:52" ht="11.25" hidden="1" outlineLevel="1" x14ac:dyDescent="0.25">
      <c r="A95" s="540" t="str">
        <f t="shared" si="15"/>
        <v>1</v>
      </c>
      <c r="B95" s="520" t="s">
        <v>197</v>
      </c>
      <c r="D95" s="520" t="s">
        <v>818</v>
      </c>
      <c r="L95" s="551" t="s">
        <v>819</v>
      </c>
      <c r="M95" s="552" t="s">
        <v>197</v>
      </c>
      <c r="N95" s="553" t="s">
        <v>123</v>
      </c>
      <c r="O95" s="566">
        <v>0</v>
      </c>
      <c r="P95" s="566"/>
      <c r="Q95" s="566"/>
      <c r="R95" s="562">
        <f t="shared" si="14"/>
        <v>0</v>
      </c>
      <c r="S95" s="566"/>
      <c r="T95" s="566"/>
      <c r="U95" s="566"/>
      <c r="V95" s="566"/>
      <c r="W95" s="566"/>
      <c r="X95" s="566"/>
      <c r="Y95" s="566"/>
      <c r="Z95" s="566"/>
      <c r="AA95" s="566"/>
      <c r="AB95" s="566"/>
      <c r="AC95" s="566"/>
      <c r="AD95" s="566"/>
      <c r="AE95" s="566"/>
      <c r="AF95" s="566"/>
      <c r="AG95" s="566"/>
      <c r="AH95" s="566"/>
      <c r="AI95" s="566"/>
      <c r="AJ95" s="566"/>
      <c r="AK95" s="566"/>
      <c r="AL95" s="566"/>
      <c r="AM95" s="566"/>
      <c r="AN95" s="562">
        <f t="shared" si="12"/>
        <v>0</v>
      </c>
      <c r="AO95" s="562">
        <f t="shared" si="16"/>
        <v>0</v>
      </c>
      <c r="AP95" s="562">
        <f t="shared" si="16"/>
        <v>0</v>
      </c>
      <c r="AQ95" s="562">
        <f t="shared" si="16"/>
        <v>0</v>
      </c>
      <c r="AR95" s="562">
        <f t="shared" si="16"/>
        <v>0</v>
      </c>
      <c r="AS95" s="562">
        <f t="shared" si="16"/>
        <v>0</v>
      </c>
      <c r="AT95" s="562">
        <f t="shared" si="16"/>
        <v>0</v>
      </c>
      <c r="AU95" s="562">
        <f t="shared" si="16"/>
        <v>0</v>
      </c>
      <c r="AV95" s="562">
        <f t="shared" si="16"/>
        <v>0</v>
      </c>
      <c r="AW95" s="562">
        <f t="shared" si="16"/>
        <v>0</v>
      </c>
      <c r="AX95" s="548"/>
      <c r="AY95" s="548"/>
      <c r="AZ95" s="548"/>
    </row>
    <row r="96" spans="1:52" ht="11.25" hidden="1" outlineLevel="1" x14ac:dyDescent="0.25">
      <c r="A96" s="540" t="str">
        <f t="shared" si="15"/>
        <v>1</v>
      </c>
      <c r="B96" s="520" t="s">
        <v>199</v>
      </c>
      <c r="D96" s="520" t="s">
        <v>820</v>
      </c>
      <c r="L96" s="551" t="s">
        <v>821</v>
      </c>
      <c r="M96" s="552" t="s">
        <v>199</v>
      </c>
      <c r="N96" s="553" t="s">
        <v>123</v>
      </c>
      <c r="O96" s="566">
        <v>0</v>
      </c>
      <c r="P96" s="566"/>
      <c r="Q96" s="566"/>
      <c r="R96" s="562">
        <f t="shared" si="14"/>
        <v>0</v>
      </c>
      <c r="S96" s="566"/>
      <c r="T96" s="566"/>
      <c r="U96" s="566"/>
      <c r="V96" s="566"/>
      <c r="W96" s="566"/>
      <c r="X96" s="566"/>
      <c r="Y96" s="566"/>
      <c r="Z96" s="566"/>
      <c r="AA96" s="566"/>
      <c r="AB96" s="566"/>
      <c r="AC96" s="566"/>
      <c r="AD96" s="566"/>
      <c r="AE96" s="566"/>
      <c r="AF96" s="566"/>
      <c r="AG96" s="566"/>
      <c r="AH96" s="566"/>
      <c r="AI96" s="566"/>
      <c r="AJ96" s="566"/>
      <c r="AK96" s="566"/>
      <c r="AL96" s="566"/>
      <c r="AM96" s="566"/>
      <c r="AN96" s="562">
        <f t="shared" si="12"/>
        <v>0</v>
      </c>
      <c r="AO96" s="562">
        <f t="shared" si="16"/>
        <v>0</v>
      </c>
      <c r="AP96" s="562">
        <f t="shared" si="16"/>
        <v>0</v>
      </c>
      <c r="AQ96" s="562">
        <f t="shared" si="16"/>
        <v>0</v>
      </c>
      <c r="AR96" s="562">
        <f t="shared" si="16"/>
        <v>0</v>
      </c>
      <c r="AS96" s="562">
        <f t="shared" si="16"/>
        <v>0</v>
      </c>
      <c r="AT96" s="562">
        <f t="shared" si="16"/>
        <v>0</v>
      </c>
      <c r="AU96" s="562">
        <f t="shared" si="16"/>
        <v>0</v>
      </c>
      <c r="AV96" s="562">
        <f t="shared" si="16"/>
        <v>0</v>
      </c>
      <c r="AW96" s="562">
        <f t="shared" si="16"/>
        <v>0</v>
      </c>
      <c r="AX96" s="548"/>
      <c r="AY96" s="548"/>
      <c r="AZ96" s="548"/>
    </row>
    <row r="97" spans="1:52" ht="11.25" hidden="1" outlineLevel="1" x14ac:dyDescent="0.25">
      <c r="A97" s="540" t="str">
        <f t="shared" si="15"/>
        <v>1</v>
      </c>
      <c r="B97" s="520" t="s">
        <v>205</v>
      </c>
      <c r="D97" s="520" t="s">
        <v>822</v>
      </c>
      <c r="L97" s="551" t="s">
        <v>823</v>
      </c>
      <c r="M97" s="552" t="s">
        <v>205</v>
      </c>
      <c r="N97" s="553" t="s">
        <v>123</v>
      </c>
      <c r="O97" s="568">
        <f>SUM(O98,O99)</f>
        <v>0</v>
      </c>
      <c r="P97" s="562">
        <f t="shared" ref="P97:AM97" si="17">SUM(P98,P99)</f>
        <v>0</v>
      </c>
      <c r="Q97" s="562">
        <f t="shared" si="17"/>
        <v>0</v>
      </c>
      <c r="R97" s="562">
        <f t="shared" si="14"/>
        <v>0</v>
      </c>
      <c r="S97" s="562">
        <f t="shared" si="17"/>
        <v>0</v>
      </c>
      <c r="T97" s="568">
        <f t="shared" si="17"/>
        <v>0</v>
      </c>
      <c r="U97" s="562">
        <f t="shared" si="17"/>
        <v>0</v>
      </c>
      <c r="V97" s="562">
        <f t="shared" si="17"/>
        <v>0</v>
      </c>
      <c r="W97" s="562">
        <f t="shared" si="17"/>
        <v>0</v>
      </c>
      <c r="X97" s="562">
        <f t="shared" si="17"/>
        <v>0</v>
      </c>
      <c r="Y97" s="562">
        <f t="shared" si="17"/>
        <v>0</v>
      </c>
      <c r="Z97" s="562">
        <f t="shared" si="17"/>
        <v>0</v>
      </c>
      <c r="AA97" s="562">
        <f t="shared" si="17"/>
        <v>0</v>
      </c>
      <c r="AB97" s="562">
        <f t="shared" si="17"/>
        <v>0</v>
      </c>
      <c r="AC97" s="562">
        <f t="shared" si="17"/>
        <v>0</v>
      </c>
      <c r="AD97" s="568">
        <f t="shared" si="17"/>
        <v>0</v>
      </c>
      <c r="AE97" s="562">
        <f t="shared" si="17"/>
        <v>0</v>
      </c>
      <c r="AF97" s="562">
        <f t="shared" si="17"/>
        <v>0</v>
      </c>
      <c r="AG97" s="562">
        <f t="shared" si="17"/>
        <v>0</v>
      </c>
      <c r="AH97" s="562">
        <f t="shared" si="17"/>
        <v>0</v>
      </c>
      <c r="AI97" s="562">
        <f t="shared" si="17"/>
        <v>0</v>
      </c>
      <c r="AJ97" s="562">
        <f t="shared" si="17"/>
        <v>0</v>
      </c>
      <c r="AK97" s="562">
        <f t="shared" si="17"/>
        <v>0</v>
      </c>
      <c r="AL97" s="562">
        <f t="shared" si="17"/>
        <v>0</v>
      </c>
      <c r="AM97" s="562">
        <f t="shared" si="17"/>
        <v>0</v>
      </c>
      <c r="AN97" s="562">
        <f t="shared" si="12"/>
        <v>0</v>
      </c>
      <c r="AO97" s="562">
        <f t="shared" si="16"/>
        <v>0</v>
      </c>
      <c r="AP97" s="562">
        <f t="shared" si="16"/>
        <v>0</v>
      </c>
      <c r="AQ97" s="562">
        <f t="shared" si="16"/>
        <v>0</v>
      </c>
      <c r="AR97" s="562">
        <f t="shared" si="16"/>
        <v>0</v>
      </c>
      <c r="AS97" s="562">
        <f t="shared" si="16"/>
        <v>0</v>
      </c>
      <c r="AT97" s="562">
        <f t="shared" si="16"/>
        <v>0</v>
      </c>
      <c r="AU97" s="562">
        <f t="shared" si="16"/>
        <v>0</v>
      </c>
      <c r="AV97" s="562">
        <f t="shared" si="16"/>
        <v>0</v>
      </c>
      <c r="AW97" s="562">
        <f t="shared" si="16"/>
        <v>0</v>
      </c>
      <c r="AX97" s="548"/>
      <c r="AY97" s="548"/>
      <c r="AZ97" s="548"/>
    </row>
    <row r="98" spans="1:52" ht="11.25" hidden="1" outlineLevel="1" x14ac:dyDescent="0.25">
      <c r="A98" s="540" t="str">
        <f t="shared" si="15"/>
        <v>1</v>
      </c>
      <c r="D98" s="520" t="s">
        <v>824</v>
      </c>
      <c r="L98" s="551" t="s">
        <v>825</v>
      </c>
      <c r="M98" s="560" t="s">
        <v>826</v>
      </c>
      <c r="N98" s="553" t="s">
        <v>123</v>
      </c>
      <c r="O98" s="566">
        <v>0</v>
      </c>
      <c r="P98" s="566"/>
      <c r="Q98" s="566"/>
      <c r="R98" s="562">
        <f t="shared" si="14"/>
        <v>0</v>
      </c>
      <c r="S98" s="566"/>
      <c r="T98" s="566"/>
      <c r="U98" s="566"/>
      <c r="V98" s="566"/>
      <c r="W98" s="566"/>
      <c r="X98" s="566"/>
      <c r="Y98" s="566"/>
      <c r="Z98" s="566"/>
      <c r="AA98" s="566"/>
      <c r="AB98" s="566"/>
      <c r="AC98" s="566"/>
      <c r="AD98" s="566"/>
      <c r="AE98" s="566"/>
      <c r="AF98" s="566"/>
      <c r="AG98" s="566"/>
      <c r="AH98" s="566"/>
      <c r="AI98" s="566"/>
      <c r="AJ98" s="566"/>
      <c r="AK98" s="566"/>
      <c r="AL98" s="566"/>
      <c r="AM98" s="566"/>
      <c r="AN98" s="562">
        <f t="shared" si="12"/>
        <v>0</v>
      </c>
      <c r="AO98" s="562">
        <f t="shared" si="16"/>
        <v>0</v>
      </c>
      <c r="AP98" s="562">
        <f t="shared" si="16"/>
        <v>0</v>
      </c>
      <c r="AQ98" s="562">
        <f t="shared" si="16"/>
        <v>0</v>
      </c>
      <c r="AR98" s="562">
        <f t="shared" si="16"/>
        <v>0</v>
      </c>
      <c r="AS98" s="562">
        <f t="shared" si="16"/>
        <v>0</v>
      </c>
      <c r="AT98" s="562">
        <f t="shared" si="16"/>
        <v>0</v>
      </c>
      <c r="AU98" s="562">
        <f t="shared" si="16"/>
        <v>0</v>
      </c>
      <c r="AV98" s="562">
        <f t="shared" si="16"/>
        <v>0</v>
      </c>
      <c r="AW98" s="562">
        <f t="shared" si="16"/>
        <v>0</v>
      </c>
      <c r="AX98" s="548"/>
      <c r="AY98" s="548"/>
      <c r="AZ98" s="548"/>
    </row>
    <row r="99" spans="1:52" ht="11.25" hidden="1" outlineLevel="1" x14ac:dyDescent="0.25">
      <c r="A99" s="540" t="str">
        <f t="shared" si="15"/>
        <v>1</v>
      </c>
      <c r="D99" s="520" t="s">
        <v>827</v>
      </c>
      <c r="L99" s="551" t="s">
        <v>828</v>
      </c>
      <c r="M99" s="560" t="s">
        <v>829</v>
      </c>
      <c r="N99" s="553" t="s">
        <v>123</v>
      </c>
      <c r="O99" s="566">
        <v>0</v>
      </c>
      <c r="P99" s="566"/>
      <c r="Q99" s="566"/>
      <c r="R99" s="562">
        <f t="shared" si="14"/>
        <v>0</v>
      </c>
      <c r="S99" s="566"/>
      <c r="T99" s="566"/>
      <c r="U99" s="566"/>
      <c r="V99" s="566"/>
      <c r="W99" s="566"/>
      <c r="X99" s="566"/>
      <c r="Y99" s="566"/>
      <c r="Z99" s="566"/>
      <c r="AA99" s="566"/>
      <c r="AB99" s="566"/>
      <c r="AC99" s="566"/>
      <c r="AD99" s="566"/>
      <c r="AE99" s="566"/>
      <c r="AF99" s="566"/>
      <c r="AG99" s="566"/>
      <c r="AH99" s="566"/>
      <c r="AI99" s="566"/>
      <c r="AJ99" s="566"/>
      <c r="AK99" s="566"/>
      <c r="AL99" s="566"/>
      <c r="AM99" s="566"/>
      <c r="AN99" s="562">
        <f t="shared" si="12"/>
        <v>0</v>
      </c>
      <c r="AO99" s="562">
        <f t="shared" si="16"/>
        <v>0</v>
      </c>
      <c r="AP99" s="562">
        <f t="shared" si="16"/>
        <v>0</v>
      </c>
      <c r="AQ99" s="562">
        <f t="shared" si="16"/>
        <v>0</v>
      </c>
      <c r="AR99" s="562">
        <f t="shared" si="16"/>
        <v>0</v>
      </c>
      <c r="AS99" s="562">
        <f t="shared" si="16"/>
        <v>0</v>
      </c>
      <c r="AT99" s="562">
        <f t="shared" si="16"/>
        <v>0</v>
      </c>
      <c r="AU99" s="562">
        <f t="shared" si="16"/>
        <v>0</v>
      </c>
      <c r="AV99" s="562">
        <f t="shared" si="16"/>
        <v>0</v>
      </c>
      <c r="AW99" s="562">
        <f t="shared" si="16"/>
        <v>0</v>
      </c>
      <c r="AX99" s="548"/>
      <c r="AY99" s="548"/>
      <c r="AZ99" s="548"/>
    </row>
    <row r="100" spans="1:52" ht="22.5" hidden="1" outlineLevel="1" x14ac:dyDescent="0.25">
      <c r="A100" s="540" t="str">
        <f t="shared" si="15"/>
        <v>1</v>
      </c>
      <c r="B100" s="520" t="s">
        <v>830</v>
      </c>
      <c r="D100" s="520" t="s">
        <v>831</v>
      </c>
      <c r="L100" s="551" t="s">
        <v>832</v>
      </c>
      <c r="M100" s="552" t="s">
        <v>833</v>
      </c>
      <c r="N100" s="553" t="s">
        <v>123</v>
      </c>
      <c r="O100" s="566">
        <v>0</v>
      </c>
      <c r="P100" s="566"/>
      <c r="Q100" s="566"/>
      <c r="R100" s="562">
        <f t="shared" si="14"/>
        <v>0</v>
      </c>
      <c r="S100" s="566"/>
      <c r="T100" s="566"/>
      <c r="U100" s="566"/>
      <c r="V100" s="566"/>
      <c r="W100" s="566"/>
      <c r="X100" s="566"/>
      <c r="Y100" s="566"/>
      <c r="Z100" s="566"/>
      <c r="AA100" s="566"/>
      <c r="AB100" s="566"/>
      <c r="AC100" s="566"/>
      <c r="AD100" s="566"/>
      <c r="AE100" s="566"/>
      <c r="AF100" s="566"/>
      <c r="AG100" s="566"/>
      <c r="AH100" s="566"/>
      <c r="AI100" s="566"/>
      <c r="AJ100" s="566"/>
      <c r="AK100" s="566"/>
      <c r="AL100" s="566"/>
      <c r="AM100" s="566"/>
      <c r="AN100" s="562">
        <f t="shared" si="12"/>
        <v>0</v>
      </c>
      <c r="AO100" s="562">
        <f t="shared" si="16"/>
        <v>0</v>
      </c>
      <c r="AP100" s="562">
        <f t="shared" si="16"/>
        <v>0</v>
      </c>
      <c r="AQ100" s="562">
        <f t="shared" si="16"/>
        <v>0</v>
      </c>
      <c r="AR100" s="562">
        <f t="shared" si="16"/>
        <v>0</v>
      </c>
      <c r="AS100" s="562">
        <f t="shared" si="16"/>
        <v>0</v>
      </c>
      <c r="AT100" s="562">
        <f t="shared" si="16"/>
        <v>0</v>
      </c>
      <c r="AU100" s="562">
        <f t="shared" si="16"/>
        <v>0</v>
      </c>
      <c r="AV100" s="562">
        <f t="shared" si="16"/>
        <v>0</v>
      </c>
      <c r="AW100" s="562">
        <f t="shared" si="16"/>
        <v>0</v>
      </c>
      <c r="AX100" s="548"/>
      <c r="AY100" s="548"/>
      <c r="AZ100" s="548"/>
    </row>
    <row r="101" spans="1:52" s="572" customFormat="1" ht="11.25" hidden="1" outlineLevel="1" x14ac:dyDescent="0.25">
      <c r="A101" s="540" t="str">
        <f t="shared" si="15"/>
        <v>1</v>
      </c>
      <c r="B101" s="520" t="s">
        <v>834</v>
      </c>
      <c r="C101" s="520"/>
      <c r="D101" s="520" t="s">
        <v>835</v>
      </c>
      <c r="L101" s="573" t="s">
        <v>137</v>
      </c>
      <c r="M101" s="544" t="s">
        <v>836</v>
      </c>
      <c r="N101" s="575" t="s">
        <v>123</v>
      </c>
      <c r="O101" s="546" t="e">
        <f>SUMIFS([14]ЭЭ!O$15:O$42,[14]ЭЭ!$A$15:$A$42,$A101,[14]ЭЭ!$M$15:$M$42,"Всего по тарифу")</f>
        <v>#VALUE!</v>
      </c>
      <c r="P101" s="546" t="e">
        <f>SUMIFS([14]ЭЭ!P$15:P$42,[14]ЭЭ!$A$15:$A$42,$A101,[14]ЭЭ!$M$15:$M$42,"Всего по тарифу")</f>
        <v>#VALUE!</v>
      </c>
      <c r="Q101" s="546" t="e">
        <f>SUMIFS([14]ЭЭ!Q$15:Q$42,[14]ЭЭ!$A$15:$A$42,$A101,[14]ЭЭ!$M$15:$M$42,"Всего по тарифу")</f>
        <v>#VALUE!</v>
      </c>
      <c r="R101" s="546" t="e">
        <f t="shared" si="14"/>
        <v>#VALUE!</v>
      </c>
      <c r="S101" s="546" t="e">
        <f>SUMIFS([14]ЭЭ!R$15:R$42,[14]ЭЭ!$A$15:$A$42,$A101,[14]ЭЭ!$M$15:$M$42,"Всего по тарифу")</f>
        <v>#VALUE!</v>
      </c>
      <c r="T101" s="546" t="e">
        <f>SUMIFS([14]ЭЭ!S$15:S$42,[14]ЭЭ!$A$15:$A$42,$A101,[14]ЭЭ!$M$15:$M$42,"Всего по тарифу")</f>
        <v>#VALUE!</v>
      </c>
      <c r="U101" s="546" t="e">
        <f>SUMIFS([14]ЭЭ!T$15:T$42,[14]ЭЭ!$A$15:$A$42,$A101,[14]ЭЭ!$M$15:$M$42,"Всего по тарифу")</f>
        <v>#VALUE!</v>
      </c>
      <c r="V101" s="546" t="e">
        <f>SUMIFS([14]ЭЭ!U$15:U$42,[14]ЭЭ!$A$15:$A$42,$A101,[14]ЭЭ!$M$15:$M$42,"Всего по тарифу")</f>
        <v>#VALUE!</v>
      </c>
      <c r="W101" s="546" t="e">
        <f>SUMIFS([14]ЭЭ!V$15:V$42,[14]ЭЭ!$A$15:$A$42,$A101,[14]ЭЭ!$M$15:$M$42,"Всего по тарифу")</f>
        <v>#VALUE!</v>
      </c>
      <c r="X101" s="546" t="e">
        <f>SUMIFS([14]ЭЭ!W$15:W$42,[14]ЭЭ!$A$15:$A$42,$A101,[14]ЭЭ!$M$15:$M$42,"Всего по тарифу")</f>
        <v>#VALUE!</v>
      </c>
      <c r="Y101" s="546" t="e">
        <f>SUMIFS([14]ЭЭ!X$15:X$42,[14]ЭЭ!$A$15:$A$42,$A101,[14]ЭЭ!$M$15:$M$42,"Всего по тарифу")</f>
        <v>#VALUE!</v>
      </c>
      <c r="Z101" s="546" t="e">
        <f>SUMIFS([14]ЭЭ!Y$15:Y$42,[14]ЭЭ!$A$15:$A$42,$A101,[14]ЭЭ!$M$15:$M$42,"Всего по тарифу")</f>
        <v>#VALUE!</v>
      </c>
      <c r="AA101" s="546" t="e">
        <f>SUMIFS([14]ЭЭ!Z$15:Z$42,[14]ЭЭ!$A$15:$A$42,$A101,[14]ЭЭ!$M$15:$M$42,"Всего по тарифу")</f>
        <v>#VALUE!</v>
      </c>
      <c r="AB101" s="546" t="e">
        <f>SUMIFS([14]ЭЭ!AA$15:AA$42,[14]ЭЭ!$A$15:$A$42,$A101,[14]ЭЭ!$M$15:$M$42,"Всего по тарифу")</f>
        <v>#VALUE!</v>
      </c>
      <c r="AC101" s="546" t="e">
        <f>SUMIFS([14]ЭЭ!AB$15:AB$42,[14]ЭЭ!$A$15:$A$42,$A101,[14]ЭЭ!$M$15:$M$42,"Всего по тарифу")</f>
        <v>#VALUE!</v>
      </c>
      <c r="AD101" s="546" t="e">
        <f>SUMIFS([14]ЭЭ!AC$15:AC$42,[14]ЭЭ!$A$15:$A$42,$A101,[14]ЭЭ!$M$15:$M$42,"Всего по тарифу")</f>
        <v>#VALUE!</v>
      </c>
      <c r="AE101" s="546" t="e">
        <f>SUMIFS([14]ЭЭ!AD$15:AD$42,[14]ЭЭ!$A$15:$A$42,$A101,[14]ЭЭ!$M$15:$M$42,"Всего по тарифу")</f>
        <v>#VALUE!</v>
      </c>
      <c r="AF101" s="546" t="e">
        <f>SUMIFS([14]ЭЭ!AE$15:AE$42,[14]ЭЭ!$A$15:$A$42,$A101,[14]ЭЭ!$M$15:$M$42,"Всего по тарифу")</f>
        <v>#VALUE!</v>
      </c>
      <c r="AG101" s="546" t="e">
        <f>SUMIFS([14]ЭЭ!AF$15:AF$42,[14]ЭЭ!$A$15:$A$42,$A101,[14]ЭЭ!$M$15:$M$42,"Всего по тарифу")</f>
        <v>#VALUE!</v>
      </c>
      <c r="AH101" s="546" t="e">
        <f>SUMIFS([14]ЭЭ!AG$15:AG$42,[14]ЭЭ!$A$15:$A$42,$A101,[14]ЭЭ!$M$15:$M$42,"Всего по тарифу")</f>
        <v>#VALUE!</v>
      </c>
      <c r="AI101" s="546" t="e">
        <f>SUMIFS([14]ЭЭ!AH$15:AH$42,[14]ЭЭ!$A$15:$A$42,$A101,[14]ЭЭ!$M$15:$M$42,"Всего по тарифу")</f>
        <v>#VALUE!</v>
      </c>
      <c r="AJ101" s="546" t="e">
        <f>SUMIFS([14]ЭЭ!AI$15:AI$42,[14]ЭЭ!$A$15:$A$42,$A101,[14]ЭЭ!$M$15:$M$42,"Всего по тарифу")</f>
        <v>#VALUE!</v>
      </c>
      <c r="AK101" s="546" t="e">
        <f>SUMIFS([14]ЭЭ!AJ$15:AJ$42,[14]ЭЭ!$A$15:$A$42,$A101,[14]ЭЭ!$M$15:$M$42,"Всего по тарифу")</f>
        <v>#VALUE!</v>
      </c>
      <c r="AL101" s="546" t="e">
        <f>SUMIFS([14]ЭЭ!AK$15:AK$42,[14]ЭЭ!$A$15:$A$42,$A101,[14]ЭЭ!$M$15:$M$42,"Всего по тарифу")</f>
        <v>#VALUE!</v>
      </c>
      <c r="AM101" s="546" t="e">
        <f>SUMIFS([14]ЭЭ!AL$15:AL$42,[14]ЭЭ!$A$15:$A$42,$A101,[14]ЭЭ!$M$15:$M$42,"Всего по тарифу")</f>
        <v>#VALUE!</v>
      </c>
      <c r="AN101" s="546" t="e">
        <f t="shared" si="12"/>
        <v>#VALUE!</v>
      </c>
      <c r="AO101" s="546" t="e">
        <f t="shared" si="16"/>
        <v>#VALUE!</v>
      </c>
      <c r="AP101" s="546" t="e">
        <f t="shared" si="16"/>
        <v>#VALUE!</v>
      </c>
      <c r="AQ101" s="546" t="e">
        <f t="shared" si="16"/>
        <v>#VALUE!</v>
      </c>
      <c r="AR101" s="546" t="e">
        <f t="shared" si="16"/>
        <v>#VALUE!</v>
      </c>
      <c r="AS101" s="546" t="e">
        <f t="shared" si="16"/>
        <v>#VALUE!</v>
      </c>
      <c r="AT101" s="546" t="e">
        <f t="shared" si="16"/>
        <v>#VALUE!</v>
      </c>
      <c r="AU101" s="546" t="e">
        <f t="shared" si="16"/>
        <v>#VALUE!</v>
      </c>
      <c r="AV101" s="546" t="e">
        <f t="shared" si="16"/>
        <v>#VALUE!</v>
      </c>
      <c r="AW101" s="546" t="e">
        <f t="shared" si="16"/>
        <v>#VALUE!</v>
      </c>
      <c r="AX101" s="548"/>
      <c r="AY101" s="548"/>
      <c r="AZ101" s="548"/>
    </row>
    <row r="102" spans="1:52" s="572" customFormat="1" ht="22.5" hidden="1" outlineLevel="1" x14ac:dyDescent="0.25">
      <c r="A102" s="540" t="str">
        <f t="shared" si="15"/>
        <v>1</v>
      </c>
      <c r="B102" s="520" t="s">
        <v>837</v>
      </c>
      <c r="C102" s="520"/>
      <c r="D102" s="520" t="s">
        <v>838</v>
      </c>
      <c r="L102" s="573" t="s">
        <v>409</v>
      </c>
      <c r="M102" s="544" t="s">
        <v>839</v>
      </c>
      <c r="N102" s="575" t="s">
        <v>123</v>
      </c>
      <c r="O102" s="546">
        <f>SUMIFS([14]Амортизация!O$15:O$114,[14]Амортизация!$A$15:$A$114,$A102,[14]Амортизация!$M$15:$M$114,"Сумма амортизационных отчислений")</f>
        <v>216.69</v>
      </c>
      <c r="P102" s="546">
        <f>SUMIFS([14]Амортизация!P$15:P$114,[14]Амортизация!$A$15:$A$114,$A102,[14]Амортизация!$M$15:$M$114,"Сумма амортизационных отчислений")</f>
        <v>276.70999999999998</v>
      </c>
      <c r="Q102" s="546">
        <f>SUMIFS([14]Амортизация!Q$15:Q$114,[14]Амортизация!$A$15:$A$114,$A102,[14]Амортизация!$M$15:$M$114,"Сумма амортизационных отчислений")</f>
        <v>276.70999999999998</v>
      </c>
      <c r="R102" s="546">
        <f t="shared" si="14"/>
        <v>0</v>
      </c>
      <c r="S102" s="546">
        <f>SUMIFS([14]Амортизация!R$15:R$114,[14]Амортизация!$A$15:$A$114,$A102,[14]Амортизация!$M$15:$M$114,"Сумма амортизационных отчислений")</f>
        <v>302.43</v>
      </c>
      <c r="T102" s="546">
        <f>SUMIFS([14]Амортизация!S$15:S$114,[14]Амортизация!$A$15:$A$114,$A102,[14]Амортизация!$M$15:$M$114,"Сумма амортизационных отчислений")</f>
        <v>306.53000000000003</v>
      </c>
      <c r="U102" s="546">
        <f>SUMIFS([14]Амортизация!T$15:T$114,[14]Амортизация!$A$15:$A$114,$A102,[14]Амортизация!$M$15:$M$114,"Сумма амортизационных отчислений")</f>
        <v>0</v>
      </c>
      <c r="V102" s="546">
        <f>SUMIFS([14]Амортизация!U$15:U$114,[14]Амортизация!$A$15:$A$114,$A102,[14]Амортизация!$M$15:$M$114,"Сумма амортизационных отчислений")</f>
        <v>0</v>
      </c>
      <c r="W102" s="546">
        <f>SUMIFS([14]Амортизация!V$15:V$114,[14]Амортизация!$A$15:$A$114,$A102,[14]Амортизация!$M$15:$M$114,"Сумма амортизационных отчислений")</f>
        <v>0</v>
      </c>
      <c r="X102" s="546">
        <f>SUMIFS([14]Амортизация!W$15:W$114,[14]Амортизация!$A$15:$A$114,$A102,[14]Амортизация!$M$15:$M$114,"Сумма амортизационных отчислений")</f>
        <v>0</v>
      </c>
      <c r="Y102" s="546">
        <f>SUMIFS([14]Амортизация!X$15:X$114,[14]Амортизация!$A$15:$A$114,$A102,[14]Амортизация!$M$15:$M$114,"Сумма амортизационных отчислений")</f>
        <v>0</v>
      </c>
      <c r="Z102" s="546">
        <f>SUMIFS([14]Амортизация!Y$15:Y$114,[14]Амортизация!$A$15:$A$114,$A102,[14]Амортизация!$M$15:$M$114,"Сумма амортизационных отчислений")</f>
        <v>0</v>
      </c>
      <c r="AA102" s="546">
        <f>SUMIFS([14]Амортизация!Z$15:Z$114,[14]Амортизация!$A$15:$A$114,$A102,[14]Амортизация!$M$15:$M$114,"Сумма амортизационных отчислений")</f>
        <v>0</v>
      </c>
      <c r="AB102" s="546">
        <f>SUMIFS([14]Амортизация!AA$15:AA$114,[14]Амортизация!$A$15:$A$114,$A102,[14]Амортизация!$M$15:$M$114,"Сумма амортизационных отчислений")</f>
        <v>0</v>
      </c>
      <c r="AC102" s="546">
        <f>SUMIFS([14]Амортизация!AB$15:AB$114,[14]Амортизация!$A$15:$A$114,$A102,[14]Амортизация!$M$15:$M$114,"Сумма амортизационных отчислений")</f>
        <v>0</v>
      </c>
      <c r="AD102" s="546">
        <f>SUMIFS([14]Амортизация!AC$15:AC$114,[14]Амортизация!$A$15:$A$114,$A102,[14]Амортизация!$M$15:$M$114,"Сумма амортизационных отчислений")</f>
        <v>306.53000000000003</v>
      </c>
      <c r="AE102" s="546">
        <f>SUMIFS([14]Амортизация!AD$15:AD$114,[14]Амортизация!$A$15:$A$114,$A102,[14]Амортизация!$M$15:$M$114,"Сумма амортизационных отчислений")</f>
        <v>302.43</v>
      </c>
      <c r="AF102" s="546">
        <f>SUMIFS([14]Амортизация!AE$15:AE$114,[14]Амортизация!$A$15:$A$114,$A102,[14]Амортизация!$M$15:$M$114,"Сумма амортизационных отчислений")</f>
        <v>302.43</v>
      </c>
      <c r="AG102" s="546">
        <f>SUMIFS([14]Амортизация!AF$15:AF$114,[14]Амортизация!$A$15:$A$114,$A102,[14]Амортизация!$M$15:$M$114,"Сумма амортизационных отчислений")</f>
        <v>302.43</v>
      </c>
      <c r="AH102" s="546">
        <f>SUMIFS([14]Амортизация!AG$15:AG$114,[14]Амортизация!$A$15:$A$114,$A102,[14]Амортизация!$M$15:$M$114,"Сумма амортизационных отчислений")</f>
        <v>0</v>
      </c>
      <c r="AI102" s="546">
        <f>SUMIFS([14]Амортизация!AH$15:AH$114,[14]Амортизация!$A$15:$A$114,$A102,[14]Амортизация!$M$15:$M$114,"Сумма амортизационных отчислений")</f>
        <v>0</v>
      </c>
      <c r="AJ102" s="546">
        <f>SUMIFS([14]Амортизация!AI$15:AI$114,[14]Амортизация!$A$15:$A$114,$A102,[14]Амортизация!$M$15:$M$114,"Сумма амортизационных отчислений")</f>
        <v>0</v>
      </c>
      <c r="AK102" s="546">
        <f>SUMIFS([14]Амортизация!AJ$15:AJ$114,[14]Амортизация!$A$15:$A$114,$A102,[14]Амортизация!$M$15:$M$114,"Сумма амортизационных отчислений")</f>
        <v>0</v>
      </c>
      <c r="AL102" s="546">
        <f>SUMIFS([14]Амортизация!AK$15:AK$114,[14]Амортизация!$A$15:$A$114,$A102,[14]Амортизация!$M$15:$M$114,"Сумма амортизационных отчислений")</f>
        <v>0</v>
      </c>
      <c r="AM102" s="546">
        <f>SUMIFS([14]Амортизация!AL$15:AL$114,[14]Амортизация!$A$15:$A$114,$A102,[14]Амортизация!$M$15:$M$114,"Сумма амортизационных отчислений")</f>
        <v>0</v>
      </c>
      <c r="AN102" s="546">
        <f t="shared" si="12"/>
        <v>1.3556856131997561</v>
      </c>
      <c r="AO102" s="546">
        <f t="shared" si="16"/>
        <v>-1.3375526049652635</v>
      </c>
      <c r="AP102" s="546">
        <f t="shared" si="16"/>
        <v>0</v>
      </c>
      <c r="AQ102" s="546">
        <f t="shared" si="16"/>
        <v>0</v>
      </c>
      <c r="AR102" s="546">
        <f t="shared" si="16"/>
        <v>-100</v>
      </c>
      <c r="AS102" s="546">
        <f t="shared" si="16"/>
        <v>0</v>
      </c>
      <c r="AT102" s="546">
        <f t="shared" si="16"/>
        <v>0</v>
      </c>
      <c r="AU102" s="546">
        <f t="shared" si="16"/>
        <v>0</v>
      </c>
      <c r="AV102" s="546">
        <f t="shared" si="16"/>
        <v>0</v>
      </c>
      <c r="AW102" s="546">
        <f t="shared" si="16"/>
        <v>0</v>
      </c>
      <c r="AX102" s="548"/>
      <c r="AY102" s="548"/>
      <c r="AZ102" s="548"/>
    </row>
    <row r="103" spans="1:52" ht="11.25" hidden="1" outlineLevel="1" x14ac:dyDescent="0.25">
      <c r="A103" s="540" t="str">
        <f t="shared" si="15"/>
        <v>1</v>
      </c>
      <c r="D103" s="520" t="s">
        <v>840</v>
      </c>
      <c r="L103" s="551" t="s">
        <v>212</v>
      </c>
      <c r="M103" s="589" t="s">
        <v>841</v>
      </c>
      <c r="N103" s="553" t="s">
        <v>123</v>
      </c>
      <c r="O103" s="566">
        <v>0</v>
      </c>
      <c r="P103" s="566">
        <f>SUMIFS('[14]ИП + источники'!Q$17:Q$89,'[14]ИП + источники'!$A$17:$A$89,$A103,'[14]ИП + источники'!$M$17:$M$89,"Амортизационные отчисления")+SUMIFS('[14]ИП + источники'!Q$17:Q$89,'[14]ИП + источники'!$A$17:$A$89,$A103,'[14]ИП + источники'!$M$17:$M$89,"погашение займов и кредитов из амортизации")</f>
        <v>0</v>
      </c>
      <c r="Q103" s="566">
        <f>SUMIFS('[14]ИП + источники'!R$17:R$89,'[14]ИП + источники'!$A$17:$A$89,$A103,'[14]ИП + источники'!$M$17:$M$89,"Амортизационные отчисления")+SUMIFS('[14]ИП + источники'!R$17:R$89,'[14]ИП + источники'!$A$17:$A$89,$A103,'[14]ИП + источники'!$M$17:$M$89,"погашение займов и кредитов из амортизации")</f>
        <v>0</v>
      </c>
      <c r="R103" s="562">
        <f t="shared" si="14"/>
        <v>0</v>
      </c>
      <c r="S103" s="566">
        <v>0</v>
      </c>
      <c r="T103" s="566">
        <v>0</v>
      </c>
      <c r="U103" s="566">
        <v>0</v>
      </c>
      <c r="V103" s="566">
        <v>0</v>
      </c>
      <c r="W103" s="566">
        <v>0</v>
      </c>
      <c r="X103" s="566">
        <f>SUMIFS('[14]ИП + источники'!Y$17:Y$89,'[14]ИП + источники'!$A$17:$A$89,$A103,'[14]ИП + источники'!$M$17:$M$89,"Амортизационные отчисления")+SUMIFS('[14]ИП + источники'!Y$17:Y$89,'[14]ИП + источники'!$A$17:$A$89,$A103,'[14]ИП + источники'!$M$17:$M$89,"погашение займов и кредитов из амортизации")</f>
        <v>0</v>
      </c>
      <c r="Y103" s="566">
        <f>SUMIFS('[14]ИП + источники'!Z$17:Z$89,'[14]ИП + источники'!$A$17:$A$89,$A103,'[14]ИП + источники'!$M$17:$M$89,"Амортизационные отчисления")+SUMIFS('[14]ИП + источники'!Z$17:Z$89,'[14]ИП + источники'!$A$17:$A$89,$A103,'[14]ИП + источники'!$M$17:$M$89,"погашение займов и кредитов из амортизации")</f>
        <v>0</v>
      </c>
      <c r="Z103" s="566">
        <f>SUMIFS('[14]ИП + источники'!AA$17:AA$89,'[14]ИП + источники'!$A$17:$A$89,$A103,'[14]ИП + источники'!$M$17:$M$89,"Амортизационные отчисления")+SUMIFS('[14]ИП + источники'!AA$17:AA$89,'[14]ИП + источники'!$A$17:$A$89,$A103,'[14]ИП + источники'!$M$17:$M$89,"погашение займов и кредитов из амортизации")</f>
        <v>0</v>
      </c>
      <c r="AA103" s="566">
        <f>SUMIFS('[14]ИП + источники'!AB$17:AB$89,'[14]ИП + источники'!$A$17:$A$89,$A103,'[14]ИП + источники'!$M$17:$M$89,"Амортизационные отчисления")+SUMIFS('[14]ИП + источники'!AB$17:AB$89,'[14]ИП + источники'!$A$17:$A$89,$A103,'[14]ИП + источники'!$M$17:$M$89,"погашение займов и кредитов из амортизации")</f>
        <v>0</v>
      </c>
      <c r="AB103" s="566">
        <f>SUMIFS('[14]ИП + источники'!AC$17:AC$89,'[14]ИП + источники'!$A$17:$A$89,$A103,'[14]ИП + источники'!$M$17:$M$89,"Амортизационные отчисления")+SUMIFS('[14]ИП + источники'!AC$17:AC$89,'[14]ИП + источники'!$A$17:$A$89,$A103,'[14]ИП + источники'!$M$17:$M$89,"погашение займов и кредитов из амортизации")</f>
        <v>0</v>
      </c>
      <c r="AC103" s="566">
        <f>SUMIFS('[14]ИП + источники'!AD$17:AD$89,'[14]ИП + источники'!$A$17:$A$89,$A103,'[14]ИП + источники'!$M$17:$M$89,"Амортизационные отчисления")+SUMIFS('[14]ИП + источники'!AD$17:AD$89,'[14]ИП + источники'!$A$17:$A$89,$A103,'[14]ИП + источники'!$M$17:$M$89,"погашение займов и кредитов из амортизации")</f>
        <v>0</v>
      </c>
      <c r="AD103" s="566">
        <v>0</v>
      </c>
      <c r="AE103" s="566">
        <v>0</v>
      </c>
      <c r="AF103" s="566">
        <v>0</v>
      </c>
      <c r="AG103" s="566">
        <v>0</v>
      </c>
      <c r="AH103" s="566">
        <f>SUMIFS('[14]ИП + источники'!AI$17:AI$89,'[14]ИП + источники'!$A$17:$A$89,$A103,'[14]ИП + источники'!$M$17:$M$89,"Амортизационные отчисления")+SUMIFS('[14]ИП + источники'!AI$17:AI$89,'[14]ИП + источники'!$A$17:$A$89,$A103,'[14]ИП + источники'!$M$17:$M$89,"погашение займов и кредитов из амортизации")</f>
        <v>0</v>
      </c>
      <c r="AI103" s="566">
        <f>SUMIFS('[14]ИП + источники'!AJ$17:AJ$89,'[14]ИП + источники'!$A$17:$A$89,$A103,'[14]ИП + источники'!$M$17:$M$89,"Амортизационные отчисления")+SUMIFS('[14]ИП + источники'!AJ$17:AJ$89,'[14]ИП + источники'!$A$17:$A$89,$A103,'[14]ИП + источники'!$M$17:$M$89,"погашение займов и кредитов из амортизации")</f>
        <v>0</v>
      </c>
      <c r="AJ103" s="566">
        <f>SUMIFS('[14]ИП + источники'!AK$17:AK$89,'[14]ИП + источники'!$A$17:$A$89,$A103,'[14]ИП + источники'!$M$17:$M$89,"Амортизационные отчисления")+SUMIFS('[14]ИП + источники'!AK$17:AK$89,'[14]ИП + источники'!$A$17:$A$89,$A103,'[14]ИП + источники'!$M$17:$M$89,"погашение займов и кредитов из амортизации")</f>
        <v>0</v>
      </c>
      <c r="AK103" s="566">
        <f>SUMIFS('[14]ИП + источники'!AL$17:AL$89,'[14]ИП + источники'!$A$17:$A$89,$A103,'[14]ИП + источники'!$M$17:$M$89,"Амортизационные отчисления")+SUMIFS('[14]ИП + источники'!AL$17:AL$89,'[14]ИП + источники'!$A$17:$A$89,$A103,'[14]ИП + источники'!$M$17:$M$89,"погашение займов и кредитов из амортизации")</f>
        <v>0</v>
      </c>
      <c r="AL103" s="566">
        <f>SUMIFS('[14]ИП + источники'!AM$17:AM$89,'[14]ИП + источники'!$A$17:$A$89,$A103,'[14]ИП + источники'!$M$17:$M$89,"Амортизационные отчисления")+SUMIFS('[14]ИП + источники'!AM$17:AM$89,'[14]ИП + источники'!$A$17:$A$89,$A103,'[14]ИП + источники'!$M$17:$M$89,"погашение займов и кредитов из амортизации")</f>
        <v>0</v>
      </c>
      <c r="AM103" s="566">
        <f>SUMIFS('[14]ИП + источники'!AN$17:AN$89,'[14]ИП + источники'!$A$17:$A$89,$A103,'[14]ИП + источники'!$M$17:$M$89,"Амортизационные отчисления")+SUMIFS('[14]ИП + источники'!AN$17:AN$89,'[14]ИП + источники'!$A$17:$A$89,$A103,'[14]ИП + источники'!$M$17:$M$89,"погашение займов и кредитов из амортизации")</f>
        <v>0</v>
      </c>
      <c r="AN103" s="562">
        <f t="shared" si="12"/>
        <v>0</v>
      </c>
      <c r="AO103" s="562">
        <f t="shared" si="16"/>
        <v>0</v>
      </c>
      <c r="AP103" s="562">
        <f t="shared" si="16"/>
        <v>0</v>
      </c>
      <c r="AQ103" s="562">
        <f t="shared" si="16"/>
        <v>0</v>
      </c>
      <c r="AR103" s="562">
        <f t="shared" si="16"/>
        <v>0</v>
      </c>
      <c r="AS103" s="562">
        <f t="shared" si="16"/>
        <v>0</v>
      </c>
      <c r="AT103" s="562">
        <f t="shared" si="16"/>
        <v>0</v>
      </c>
      <c r="AU103" s="562">
        <f t="shared" si="16"/>
        <v>0</v>
      </c>
      <c r="AV103" s="562">
        <f t="shared" si="16"/>
        <v>0</v>
      </c>
      <c r="AW103" s="562">
        <f t="shared" si="16"/>
        <v>0</v>
      </c>
      <c r="AX103" s="548"/>
      <c r="AY103" s="548"/>
      <c r="AZ103" s="548"/>
    </row>
    <row r="104" spans="1:52" s="572" customFormat="1" ht="11.25" hidden="1" outlineLevel="1" x14ac:dyDescent="0.25">
      <c r="A104" s="540" t="str">
        <f t="shared" si="15"/>
        <v>1</v>
      </c>
      <c r="B104" s="520" t="s">
        <v>214</v>
      </c>
      <c r="C104" s="520"/>
      <c r="D104" s="520" t="s">
        <v>842</v>
      </c>
      <c r="L104" s="573" t="s">
        <v>410</v>
      </c>
      <c r="M104" s="590" t="s">
        <v>214</v>
      </c>
      <c r="N104" s="545" t="s">
        <v>123</v>
      </c>
      <c r="O104" s="576">
        <f>O105+O106+O107+O108</f>
        <v>0</v>
      </c>
      <c r="P104" s="576">
        <f t="shared" ref="P104:AM104" si="18">P105+P106+P107+P108</f>
        <v>0</v>
      </c>
      <c r="Q104" s="576">
        <f t="shared" si="18"/>
        <v>0</v>
      </c>
      <c r="R104" s="576">
        <f t="shared" si="14"/>
        <v>0</v>
      </c>
      <c r="S104" s="576">
        <f t="shared" si="18"/>
        <v>0</v>
      </c>
      <c r="T104" s="576">
        <f t="shared" si="18"/>
        <v>0</v>
      </c>
      <c r="U104" s="576">
        <f t="shared" si="18"/>
        <v>0</v>
      </c>
      <c r="V104" s="576">
        <f t="shared" si="18"/>
        <v>0</v>
      </c>
      <c r="W104" s="576">
        <f t="shared" si="18"/>
        <v>0</v>
      </c>
      <c r="X104" s="576">
        <f t="shared" si="18"/>
        <v>0</v>
      </c>
      <c r="Y104" s="576">
        <f t="shared" si="18"/>
        <v>0</v>
      </c>
      <c r="Z104" s="576">
        <f t="shared" si="18"/>
        <v>0</v>
      </c>
      <c r="AA104" s="576">
        <f t="shared" si="18"/>
        <v>0</v>
      </c>
      <c r="AB104" s="576">
        <f t="shared" si="18"/>
        <v>0</v>
      </c>
      <c r="AC104" s="576">
        <f t="shared" si="18"/>
        <v>0</v>
      </c>
      <c r="AD104" s="576">
        <f t="shared" si="18"/>
        <v>0</v>
      </c>
      <c r="AE104" s="576">
        <f t="shared" si="18"/>
        <v>0</v>
      </c>
      <c r="AF104" s="576">
        <f t="shared" si="18"/>
        <v>0</v>
      </c>
      <c r="AG104" s="576">
        <f t="shared" si="18"/>
        <v>0</v>
      </c>
      <c r="AH104" s="576">
        <f t="shared" si="18"/>
        <v>0</v>
      </c>
      <c r="AI104" s="576">
        <f t="shared" si="18"/>
        <v>0</v>
      </c>
      <c r="AJ104" s="576">
        <f t="shared" si="18"/>
        <v>0</v>
      </c>
      <c r="AK104" s="576">
        <f t="shared" si="18"/>
        <v>0</v>
      </c>
      <c r="AL104" s="576">
        <f t="shared" si="18"/>
        <v>0</v>
      </c>
      <c r="AM104" s="576">
        <f t="shared" si="18"/>
        <v>0</v>
      </c>
      <c r="AN104" s="546">
        <f t="shared" si="12"/>
        <v>0</v>
      </c>
      <c r="AO104" s="546">
        <f t="shared" si="16"/>
        <v>0</v>
      </c>
      <c r="AP104" s="546">
        <f t="shared" si="16"/>
        <v>0</v>
      </c>
      <c r="AQ104" s="546">
        <f t="shared" si="16"/>
        <v>0</v>
      </c>
      <c r="AR104" s="546">
        <f t="shared" si="16"/>
        <v>0</v>
      </c>
      <c r="AS104" s="546">
        <f t="shared" si="16"/>
        <v>0</v>
      </c>
      <c r="AT104" s="546">
        <f t="shared" si="16"/>
        <v>0</v>
      </c>
      <c r="AU104" s="546">
        <f t="shared" si="16"/>
        <v>0</v>
      </c>
      <c r="AV104" s="546">
        <f t="shared" si="16"/>
        <v>0</v>
      </c>
      <c r="AW104" s="546">
        <f t="shared" si="16"/>
        <v>0</v>
      </c>
      <c r="AX104" s="548"/>
      <c r="AY104" s="548"/>
      <c r="AZ104" s="548"/>
    </row>
    <row r="105" spans="1:52" ht="11.25" hidden="1" outlineLevel="1" x14ac:dyDescent="0.25">
      <c r="A105" s="540" t="str">
        <f t="shared" si="15"/>
        <v>1</v>
      </c>
      <c r="D105" s="520" t="s">
        <v>843</v>
      </c>
      <c r="L105" s="551" t="s">
        <v>215</v>
      </c>
      <c r="M105" s="552" t="s">
        <v>844</v>
      </c>
      <c r="N105" s="553" t="s">
        <v>123</v>
      </c>
      <c r="O105" s="566">
        <v>0</v>
      </c>
      <c r="P105" s="566">
        <f>SUMIFS('[14]ИП + источники'!Q$17:Q$89,'[14]ИП + источники'!$A$17:$A$89,$A105,'[14]ИП + источники'!$M$17:$M$89,"погашение займов и кредитов из нормативной прибыли")</f>
        <v>0</v>
      </c>
      <c r="Q105" s="566">
        <f>SUMIFS('[14]ИП + источники'!R$17:R$89,'[14]ИП + источники'!$A$17:$A$89,$A105,'[14]ИП + источники'!$M$17:$M$89,"погашение займов и кредитов из нормативной прибыли")</f>
        <v>0</v>
      </c>
      <c r="R105" s="562">
        <f t="shared" si="14"/>
        <v>0</v>
      </c>
      <c r="S105" s="566">
        <v>0</v>
      </c>
      <c r="T105" s="566">
        <v>0</v>
      </c>
      <c r="U105" s="566">
        <v>0</v>
      </c>
      <c r="V105" s="566">
        <v>0</v>
      </c>
      <c r="W105" s="566">
        <v>0</v>
      </c>
      <c r="X105" s="566">
        <f>SUMIFS('[14]ИП + источники'!Y$17:Y$89,'[14]ИП + источники'!$A$17:$A$89,$A105,'[14]ИП + источники'!$M$17:$M$89,"погашение займов и кредитов из нормативной прибыли")</f>
        <v>0</v>
      </c>
      <c r="Y105" s="566">
        <f>SUMIFS('[14]ИП + источники'!Z$17:Z$89,'[14]ИП + источники'!$A$17:$A$89,$A105,'[14]ИП + источники'!$M$17:$M$89,"погашение займов и кредитов из нормативной прибыли")</f>
        <v>0</v>
      </c>
      <c r="Z105" s="566">
        <f>SUMIFS('[14]ИП + источники'!AA$17:AA$89,'[14]ИП + источники'!$A$17:$A$89,$A105,'[14]ИП + источники'!$M$17:$M$89,"погашение займов и кредитов из нормативной прибыли")</f>
        <v>0</v>
      </c>
      <c r="AA105" s="566">
        <f>SUMIFS('[14]ИП + источники'!AB$17:AB$89,'[14]ИП + источники'!$A$17:$A$89,$A105,'[14]ИП + источники'!$M$17:$M$89,"погашение займов и кредитов из нормативной прибыли")</f>
        <v>0</v>
      </c>
      <c r="AB105" s="566">
        <f>SUMIFS('[14]ИП + источники'!AC$17:AC$89,'[14]ИП + источники'!$A$17:$A$89,$A105,'[14]ИП + источники'!$M$17:$M$89,"погашение займов и кредитов из нормативной прибыли")</f>
        <v>0</v>
      </c>
      <c r="AC105" s="566">
        <f>SUMIFS('[14]ИП + источники'!AD$17:AD$89,'[14]ИП + источники'!$A$17:$A$89,$A105,'[14]ИП + источники'!$M$17:$M$89,"погашение займов и кредитов из нормативной прибыли")</f>
        <v>0</v>
      </c>
      <c r="AD105" s="566">
        <v>0</v>
      </c>
      <c r="AE105" s="566">
        <v>0</v>
      </c>
      <c r="AF105" s="566">
        <v>0</v>
      </c>
      <c r="AG105" s="566">
        <v>0</v>
      </c>
      <c r="AH105" s="566">
        <f>SUMIFS('[14]ИП + источники'!AI$17:AI$89,'[14]ИП + источники'!$A$17:$A$89,$A105,'[14]ИП + источники'!$M$17:$M$89,"погашение займов и кредитов из нормативной прибыли")</f>
        <v>0</v>
      </c>
      <c r="AI105" s="566">
        <f>SUMIFS('[14]ИП + источники'!AJ$17:AJ$89,'[14]ИП + источники'!$A$17:$A$89,$A105,'[14]ИП + источники'!$M$17:$M$89,"погашение займов и кредитов из нормативной прибыли")</f>
        <v>0</v>
      </c>
      <c r="AJ105" s="566">
        <f>SUMIFS('[14]ИП + источники'!AK$17:AK$89,'[14]ИП + источники'!$A$17:$A$89,$A105,'[14]ИП + источники'!$M$17:$M$89,"погашение займов и кредитов из нормативной прибыли")</f>
        <v>0</v>
      </c>
      <c r="AK105" s="566">
        <f>SUMIFS('[14]ИП + источники'!AL$17:AL$89,'[14]ИП + источники'!$A$17:$A$89,$A105,'[14]ИП + источники'!$M$17:$M$89,"погашение займов и кредитов из нормативной прибыли")</f>
        <v>0</v>
      </c>
      <c r="AL105" s="566">
        <f>SUMIFS('[14]ИП + источники'!AM$17:AM$89,'[14]ИП + источники'!$A$17:$A$89,$A105,'[14]ИП + источники'!$M$17:$M$89,"погашение займов и кредитов из нормативной прибыли")</f>
        <v>0</v>
      </c>
      <c r="AM105" s="566">
        <f>SUMIFS('[14]ИП + источники'!AN$17:AN$89,'[14]ИП + источники'!$A$17:$A$89,$A105,'[14]ИП + источники'!$M$17:$M$89,"погашение займов и кредитов из нормативной прибыли")</f>
        <v>0</v>
      </c>
      <c r="AN105" s="562">
        <f t="shared" si="12"/>
        <v>0</v>
      </c>
      <c r="AO105" s="562">
        <f t="shared" si="16"/>
        <v>0</v>
      </c>
      <c r="AP105" s="562">
        <f t="shared" si="16"/>
        <v>0</v>
      </c>
      <c r="AQ105" s="562">
        <f t="shared" si="16"/>
        <v>0</v>
      </c>
      <c r="AR105" s="562">
        <f t="shared" si="16"/>
        <v>0</v>
      </c>
      <c r="AS105" s="562">
        <f t="shared" si="16"/>
        <v>0</v>
      </c>
      <c r="AT105" s="562">
        <f t="shared" si="16"/>
        <v>0</v>
      </c>
      <c r="AU105" s="562">
        <f t="shared" si="16"/>
        <v>0</v>
      </c>
      <c r="AV105" s="562">
        <f t="shared" si="16"/>
        <v>0</v>
      </c>
      <c r="AW105" s="562">
        <f t="shared" si="16"/>
        <v>0</v>
      </c>
      <c r="AX105" s="548"/>
      <c r="AY105" s="548"/>
      <c r="AZ105" s="548"/>
    </row>
    <row r="106" spans="1:52" ht="11.25" hidden="1" outlineLevel="1" x14ac:dyDescent="0.25">
      <c r="A106" s="540" t="str">
        <f t="shared" si="15"/>
        <v>1</v>
      </c>
      <c r="D106" s="520" t="s">
        <v>845</v>
      </c>
      <c r="L106" s="551" t="s">
        <v>217</v>
      </c>
      <c r="M106" s="552" t="s">
        <v>846</v>
      </c>
      <c r="N106" s="553" t="s">
        <v>123</v>
      </c>
      <c r="O106" s="566">
        <v>0</v>
      </c>
      <c r="P106" s="566">
        <f>SUMIFS('[14]ИП + источники'!Q$17:Q$89,'[14]ИП + источники'!$A$17:$A$89,$A106,'[14]ИП + источники'!$M$17:$M$89,"уплата процентов по кредитам из нормативной прибыли")</f>
        <v>0</v>
      </c>
      <c r="Q106" s="566">
        <f>SUMIFS('[14]ИП + источники'!R$17:R$89,'[14]ИП + источники'!$A$17:$A$89,$A106,'[14]ИП + источники'!$M$17:$M$89,"уплата процентов по кредитам из нормативной прибыли")</f>
        <v>0</v>
      </c>
      <c r="R106" s="562">
        <f t="shared" si="14"/>
        <v>0</v>
      </c>
      <c r="S106" s="566">
        <v>0</v>
      </c>
      <c r="T106" s="566">
        <v>0</v>
      </c>
      <c r="U106" s="566">
        <v>0</v>
      </c>
      <c r="V106" s="566">
        <v>0</v>
      </c>
      <c r="W106" s="566">
        <v>0</v>
      </c>
      <c r="X106" s="566">
        <f>SUMIFS('[14]ИП + источники'!Y$17:Y$89,'[14]ИП + источники'!$A$17:$A$89,$A106,'[14]ИП + источники'!$M$17:$M$89,"уплата процентов по кредитам из нормативной прибыли")</f>
        <v>0</v>
      </c>
      <c r="Y106" s="566">
        <f>SUMIFS('[14]ИП + источники'!Z$17:Z$89,'[14]ИП + источники'!$A$17:$A$89,$A106,'[14]ИП + источники'!$M$17:$M$89,"уплата процентов по кредитам из нормативной прибыли")</f>
        <v>0</v>
      </c>
      <c r="Z106" s="566">
        <f>SUMIFS('[14]ИП + источники'!AA$17:AA$89,'[14]ИП + источники'!$A$17:$A$89,$A106,'[14]ИП + источники'!$M$17:$M$89,"уплата процентов по кредитам из нормативной прибыли")</f>
        <v>0</v>
      </c>
      <c r="AA106" s="566">
        <f>SUMIFS('[14]ИП + источники'!AB$17:AB$89,'[14]ИП + источники'!$A$17:$A$89,$A106,'[14]ИП + источники'!$M$17:$M$89,"уплата процентов по кредитам из нормативной прибыли")</f>
        <v>0</v>
      </c>
      <c r="AB106" s="566">
        <f>SUMIFS('[14]ИП + источники'!AC$17:AC$89,'[14]ИП + источники'!$A$17:$A$89,$A106,'[14]ИП + источники'!$M$17:$M$89,"уплата процентов по кредитам из нормативной прибыли")</f>
        <v>0</v>
      </c>
      <c r="AC106" s="566">
        <f>SUMIFS('[14]ИП + источники'!AD$17:AD$89,'[14]ИП + источники'!$A$17:$A$89,$A106,'[14]ИП + источники'!$M$17:$M$89,"уплата процентов по кредитам из нормативной прибыли")</f>
        <v>0</v>
      </c>
      <c r="AD106" s="566">
        <v>0</v>
      </c>
      <c r="AE106" s="566">
        <v>0</v>
      </c>
      <c r="AF106" s="566">
        <v>0</v>
      </c>
      <c r="AG106" s="566">
        <v>0</v>
      </c>
      <c r="AH106" s="566">
        <f>SUMIFS('[14]ИП + источники'!AI$17:AI$89,'[14]ИП + источники'!$A$17:$A$89,$A106,'[14]ИП + источники'!$M$17:$M$89,"уплата процентов по кредитам из нормативной прибыли")</f>
        <v>0</v>
      </c>
      <c r="AI106" s="566">
        <f>SUMIFS('[14]ИП + источники'!AJ$17:AJ$89,'[14]ИП + источники'!$A$17:$A$89,$A106,'[14]ИП + источники'!$M$17:$M$89,"уплата процентов по кредитам из нормативной прибыли")</f>
        <v>0</v>
      </c>
      <c r="AJ106" s="566">
        <f>SUMIFS('[14]ИП + источники'!AK$17:AK$89,'[14]ИП + источники'!$A$17:$A$89,$A106,'[14]ИП + источники'!$M$17:$M$89,"уплата процентов по кредитам из нормативной прибыли")</f>
        <v>0</v>
      </c>
      <c r="AK106" s="566">
        <f>SUMIFS('[14]ИП + источники'!AL$17:AL$89,'[14]ИП + источники'!$A$17:$A$89,$A106,'[14]ИП + источники'!$M$17:$M$89,"уплата процентов по кредитам из нормативной прибыли")</f>
        <v>0</v>
      </c>
      <c r="AL106" s="566">
        <f>SUMIFS('[14]ИП + источники'!AM$17:AM$89,'[14]ИП + источники'!$A$17:$A$89,$A106,'[14]ИП + источники'!$M$17:$M$89,"уплата процентов по кредитам из нормативной прибыли")</f>
        <v>0</v>
      </c>
      <c r="AM106" s="566">
        <f>SUMIFS('[14]ИП + источники'!AN$17:AN$89,'[14]ИП + источники'!$A$17:$A$89,$A106,'[14]ИП + источники'!$M$17:$M$89,"уплата процентов по кредитам из нормативной прибыли")</f>
        <v>0</v>
      </c>
      <c r="AN106" s="562">
        <f t="shared" si="12"/>
        <v>0</v>
      </c>
      <c r="AO106" s="562">
        <f t="shared" si="16"/>
        <v>0</v>
      </c>
      <c r="AP106" s="562">
        <f t="shared" si="16"/>
        <v>0</v>
      </c>
      <c r="AQ106" s="562">
        <f t="shared" si="16"/>
        <v>0</v>
      </c>
      <c r="AR106" s="562">
        <f t="shared" si="16"/>
        <v>0</v>
      </c>
      <c r="AS106" s="562">
        <f t="shared" si="16"/>
        <v>0</v>
      </c>
      <c r="AT106" s="562">
        <f t="shared" si="16"/>
        <v>0</v>
      </c>
      <c r="AU106" s="562">
        <f t="shared" si="16"/>
        <v>0</v>
      </c>
      <c r="AV106" s="562">
        <f t="shared" si="16"/>
        <v>0</v>
      </c>
      <c r="AW106" s="562">
        <f t="shared" si="16"/>
        <v>0</v>
      </c>
      <c r="AX106" s="548"/>
      <c r="AY106" s="548"/>
      <c r="AZ106" s="548"/>
    </row>
    <row r="107" spans="1:52" ht="11.25" hidden="1" outlineLevel="1" x14ac:dyDescent="0.25">
      <c r="A107" s="540" t="str">
        <f t="shared" si="15"/>
        <v>1</v>
      </c>
      <c r="D107" s="520" t="s">
        <v>847</v>
      </c>
      <c r="L107" s="551" t="s">
        <v>848</v>
      </c>
      <c r="M107" s="552" t="s">
        <v>849</v>
      </c>
      <c r="N107" s="553" t="s">
        <v>123</v>
      </c>
      <c r="O107" s="566">
        <v>0</v>
      </c>
      <c r="P107" s="566">
        <f>SUMIFS('[14]ИП + источники'!Q$17:Q$89,'[14]ИП + источники'!$A$17:$A$89,$A107,'[14]ИП + источники'!$M$17:$M$89,"Прибыль на капвложения")</f>
        <v>0</v>
      </c>
      <c r="Q107" s="566">
        <f>SUMIFS('[14]ИП + источники'!R$17:R$89,'[14]ИП + источники'!$A$17:$A$89,$A107,'[14]ИП + источники'!$M$17:$M$89,"Прибыль на капвложения")</f>
        <v>0</v>
      </c>
      <c r="R107" s="562">
        <f t="shared" si="14"/>
        <v>0</v>
      </c>
      <c r="S107" s="566">
        <v>0</v>
      </c>
      <c r="T107" s="566">
        <v>0</v>
      </c>
      <c r="U107" s="566">
        <v>0</v>
      </c>
      <c r="V107" s="566">
        <v>0</v>
      </c>
      <c r="W107" s="566">
        <v>0</v>
      </c>
      <c r="X107" s="566">
        <f>SUMIFS('[14]ИП + источники'!Y$17:Y$89,'[14]ИП + источники'!$A$17:$A$89,$A107,'[14]ИП + источники'!$M$17:$M$89,"Прибыль на капвложения")</f>
        <v>0</v>
      </c>
      <c r="Y107" s="566">
        <f>SUMIFS('[14]ИП + источники'!Z$17:Z$89,'[14]ИП + источники'!$A$17:$A$89,$A107,'[14]ИП + источники'!$M$17:$M$89,"Прибыль на капвложения")</f>
        <v>0</v>
      </c>
      <c r="Z107" s="566">
        <f>SUMIFS('[14]ИП + источники'!AA$17:AA$89,'[14]ИП + источники'!$A$17:$A$89,$A107,'[14]ИП + источники'!$M$17:$M$89,"Прибыль на капвложения")</f>
        <v>0</v>
      </c>
      <c r="AA107" s="566">
        <f>SUMIFS('[14]ИП + источники'!AB$17:AB$89,'[14]ИП + источники'!$A$17:$A$89,$A107,'[14]ИП + источники'!$M$17:$M$89,"Прибыль на капвложения")</f>
        <v>0</v>
      </c>
      <c r="AB107" s="566">
        <f>SUMIFS('[14]ИП + источники'!AC$17:AC$89,'[14]ИП + источники'!$A$17:$A$89,$A107,'[14]ИП + источники'!$M$17:$M$89,"Прибыль на капвложения")</f>
        <v>0</v>
      </c>
      <c r="AC107" s="566">
        <f>SUMIFS('[14]ИП + источники'!AD$17:AD$89,'[14]ИП + источники'!$A$17:$A$89,$A107,'[14]ИП + источники'!$M$17:$M$89,"Прибыль на капвложения")</f>
        <v>0</v>
      </c>
      <c r="AD107" s="566">
        <v>0</v>
      </c>
      <c r="AE107" s="566">
        <v>0</v>
      </c>
      <c r="AF107" s="566">
        <v>0</v>
      </c>
      <c r="AG107" s="566">
        <v>0</v>
      </c>
      <c r="AH107" s="566">
        <f>SUMIFS('[14]ИП + источники'!AI$17:AI$89,'[14]ИП + источники'!$A$17:$A$89,$A107,'[14]ИП + источники'!$M$17:$M$89,"Прибыль на капвложения")</f>
        <v>0</v>
      </c>
      <c r="AI107" s="566">
        <f>SUMIFS('[14]ИП + источники'!AJ$17:AJ$89,'[14]ИП + источники'!$A$17:$A$89,$A107,'[14]ИП + источники'!$M$17:$M$89,"Прибыль на капвложения")</f>
        <v>0</v>
      </c>
      <c r="AJ107" s="566">
        <f>SUMIFS('[14]ИП + источники'!AK$17:AK$89,'[14]ИП + источники'!$A$17:$A$89,$A107,'[14]ИП + источники'!$M$17:$M$89,"Прибыль на капвложения")</f>
        <v>0</v>
      </c>
      <c r="AK107" s="566">
        <f>SUMIFS('[14]ИП + источники'!AL$17:AL$89,'[14]ИП + источники'!$A$17:$A$89,$A107,'[14]ИП + источники'!$M$17:$M$89,"Прибыль на капвложения")</f>
        <v>0</v>
      </c>
      <c r="AL107" s="566">
        <f>SUMIFS('[14]ИП + источники'!AM$17:AM$89,'[14]ИП + источники'!$A$17:$A$89,$A107,'[14]ИП + источники'!$M$17:$M$89,"Прибыль на капвложения")</f>
        <v>0</v>
      </c>
      <c r="AM107" s="566">
        <f>SUMIFS('[14]ИП + источники'!AN$17:AN$89,'[14]ИП + источники'!$A$17:$A$89,$A107,'[14]ИП + источники'!$M$17:$M$89,"Прибыль на капвложения")</f>
        <v>0</v>
      </c>
      <c r="AN107" s="562">
        <f t="shared" si="12"/>
        <v>0</v>
      </c>
      <c r="AO107" s="562">
        <f t="shared" si="16"/>
        <v>0</v>
      </c>
      <c r="AP107" s="562">
        <f t="shared" si="16"/>
        <v>0</v>
      </c>
      <c r="AQ107" s="562">
        <f t="shared" si="16"/>
        <v>0</v>
      </c>
      <c r="AR107" s="562">
        <f t="shared" si="16"/>
        <v>0</v>
      </c>
      <c r="AS107" s="562">
        <f t="shared" si="16"/>
        <v>0</v>
      </c>
      <c r="AT107" s="562">
        <f t="shared" si="16"/>
        <v>0</v>
      </c>
      <c r="AU107" s="562">
        <f t="shared" si="16"/>
        <v>0</v>
      </c>
      <c r="AV107" s="562">
        <f t="shared" si="16"/>
        <v>0</v>
      </c>
      <c r="AW107" s="562">
        <f t="shared" si="16"/>
        <v>0</v>
      </c>
      <c r="AX107" s="548"/>
      <c r="AY107" s="548"/>
      <c r="AZ107" s="548"/>
    </row>
    <row r="108" spans="1:52" ht="22.5" hidden="1" outlineLevel="1" x14ac:dyDescent="0.25">
      <c r="A108" s="540" t="str">
        <f t="shared" si="15"/>
        <v>1</v>
      </c>
      <c r="B108" s="520" t="s">
        <v>850</v>
      </c>
      <c r="D108" s="520" t="s">
        <v>851</v>
      </c>
      <c r="L108" s="551" t="s">
        <v>852</v>
      </c>
      <c r="M108" s="552" t="s">
        <v>853</v>
      </c>
      <c r="N108" s="553" t="s">
        <v>123</v>
      </c>
      <c r="O108" s="566">
        <v>0</v>
      </c>
      <c r="P108" s="566"/>
      <c r="Q108" s="566"/>
      <c r="R108" s="562">
        <f t="shared" si="14"/>
        <v>0</v>
      </c>
      <c r="S108" s="566"/>
      <c r="T108" s="566"/>
      <c r="U108" s="566"/>
      <c r="V108" s="566"/>
      <c r="W108" s="566"/>
      <c r="X108" s="566"/>
      <c r="Y108" s="566"/>
      <c r="Z108" s="566"/>
      <c r="AA108" s="566"/>
      <c r="AB108" s="566"/>
      <c r="AC108" s="566"/>
      <c r="AD108" s="566"/>
      <c r="AE108" s="566"/>
      <c r="AF108" s="566"/>
      <c r="AG108" s="566"/>
      <c r="AH108" s="566"/>
      <c r="AI108" s="566"/>
      <c r="AJ108" s="566"/>
      <c r="AK108" s="566"/>
      <c r="AL108" s="566"/>
      <c r="AM108" s="566"/>
      <c r="AN108" s="562">
        <f t="shared" si="12"/>
        <v>0</v>
      </c>
      <c r="AO108" s="562">
        <f t="shared" si="16"/>
        <v>0</v>
      </c>
      <c r="AP108" s="562">
        <f t="shared" si="16"/>
        <v>0</v>
      </c>
      <c r="AQ108" s="562">
        <f t="shared" si="16"/>
        <v>0</v>
      </c>
      <c r="AR108" s="562">
        <f t="shared" si="16"/>
        <v>0</v>
      </c>
      <c r="AS108" s="562">
        <f t="shared" si="16"/>
        <v>0</v>
      </c>
      <c r="AT108" s="562">
        <f t="shared" si="16"/>
        <v>0</v>
      </c>
      <c r="AU108" s="562">
        <f t="shared" si="16"/>
        <v>0</v>
      </c>
      <c r="AV108" s="562">
        <f t="shared" si="16"/>
        <v>0</v>
      </c>
      <c r="AW108" s="562">
        <f t="shared" si="16"/>
        <v>0</v>
      </c>
      <c r="AX108" s="548"/>
      <c r="AY108" s="548"/>
      <c r="AZ108" s="548"/>
    </row>
    <row r="109" spans="1:52" ht="11.25" hidden="1" outlineLevel="1" x14ac:dyDescent="0.25">
      <c r="A109" s="540" t="str">
        <f t="shared" si="15"/>
        <v>1</v>
      </c>
      <c r="B109" s="520" t="s">
        <v>220</v>
      </c>
      <c r="D109" s="520" t="s">
        <v>854</v>
      </c>
      <c r="L109" s="551" t="s">
        <v>219</v>
      </c>
      <c r="M109" s="591" t="s">
        <v>220</v>
      </c>
      <c r="N109" s="553" t="s">
        <v>123</v>
      </c>
      <c r="O109" s="566">
        <v>0</v>
      </c>
      <c r="P109" s="566"/>
      <c r="Q109" s="566"/>
      <c r="R109" s="562">
        <f t="shared" si="14"/>
        <v>0</v>
      </c>
      <c r="S109" s="566">
        <v>0</v>
      </c>
      <c r="T109" s="566"/>
      <c r="U109" s="566"/>
      <c r="V109" s="566"/>
      <c r="W109" s="566"/>
      <c r="X109" s="566"/>
      <c r="Y109" s="566"/>
      <c r="Z109" s="566"/>
      <c r="AA109" s="566"/>
      <c r="AB109" s="566"/>
      <c r="AC109" s="566"/>
      <c r="AD109" s="566"/>
      <c r="AE109" s="566"/>
      <c r="AF109" s="566"/>
      <c r="AG109" s="566"/>
      <c r="AH109" s="566"/>
      <c r="AI109" s="566"/>
      <c r="AJ109" s="566"/>
      <c r="AK109" s="566"/>
      <c r="AL109" s="566"/>
      <c r="AM109" s="566"/>
      <c r="AN109" s="562">
        <f t="shared" si="12"/>
        <v>0</v>
      </c>
      <c r="AO109" s="562">
        <f t="shared" si="16"/>
        <v>0</v>
      </c>
      <c r="AP109" s="562">
        <f t="shared" si="16"/>
        <v>0</v>
      </c>
      <c r="AQ109" s="562">
        <f t="shared" si="16"/>
        <v>0</v>
      </c>
      <c r="AR109" s="562">
        <f t="shared" si="16"/>
        <v>0</v>
      </c>
      <c r="AS109" s="562">
        <f t="shared" si="16"/>
        <v>0</v>
      </c>
      <c r="AT109" s="562">
        <f t="shared" si="16"/>
        <v>0</v>
      </c>
      <c r="AU109" s="562">
        <f t="shared" si="16"/>
        <v>0</v>
      </c>
      <c r="AV109" s="562">
        <f t="shared" si="16"/>
        <v>0</v>
      </c>
      <c r="AW109" s="562">
        <f t="shared" si="16"/>
        <v>0</v>
      </c>
      <c r="AX109" s="548"/>
      <c r="AY109" s="548"/>
      <c r="AZ109" s="548"/>
    </row>
    <row r="110" spans="1:52" s="572" customFormat="1" ht="11.25" hidden="1" outlineLevel="1" x14ac:dyDescent="0.25">
      <c r="A110" s="540" t="str">
        <f t="shared" si="15"/>
        <v>1</v>
      </c>
      <c r="B110" s="520" t="s">
        <v>855</v>
      </c>
      <c r="C110" s="520"/>
      <c r="D110" s="592" t="s">
        <v>856</v>
      </c>
      <c r="L110" s="573" t="s">
        <v>221</v>
      </c>
      <c r="M110" s="593" t="s">
        <v>857</v>
      </c>
      <c r="N110" s="575" t="s">
        <v>123</v>
      </c>
      <c r="O110" s="547">
        <f>O114</f>
        <v>-274.52</v>
      </c>
      <c r="P110" s="547"/>
      <c r="Q110" s="547">
        <f>O110</f>
        <v>-274.52</v>
      </c>
      <c r="R110" s="546">
        <f t="shared" si="14"/>
        <v>-274.52</v>
      </c>
      <c r="S110" s="547">
        <v>-1771.31</v>
      </c>
      <c r="T110" s="566">
        <f>SUMIFS('[14]Корректировка НВВ'!$P$15:$P$104,'[14]Корректировка НВВ'!$A$15:$A$104,$A110,'[14]Корректировка НВВ'!$D$15:$D$104,$B110)</f>
        <v>0</v>
      </c>
      <c r="U110" s="547"/>
      <c r="V110" s="547"/>
      <c r="W110" s="547"/>
      <c r="X110" s="547"/>
      <c r="Y110" s="547"/>
      <c r="Z110" s="547"/>
      <c r="AA110" s="547"/>
      <c r="AB110" s="547"/>
      <c r="AC110" s="547"/>
      <c r="AD110" s="566">
        <v>-265.39999999999998</v>
      </c>
      <c r="AE110" s="547">
        <v>408</v>
      </c>
      <c r="AF110" s="547">
        <v>408</v>
      </c>
      <c r="AG110" s="547">
        <v>408</v>
      </c>
      <c r="AH110" s="547"/>
      <c r="AI110" s="547"/>
      <c r="AJ110" s="547"/>
      <c r="AK110" s="547"/>
      <c r="AL110" s="547"/>
      <c r="AM110" s="547"/>
      <c r="AN110" s="546">
        <f t="shared" si="12"/>
        <v>-85.016739023660449</v>
      </c>
      <c r="AO110" s="546">
        <f t="shared" si="16"/>
        <v>-253.73021853805579</v>
      </c>
      <c r="AP110" s="546">
        <f t="shared" si="16"/>
        <v>0</v>
      </c>
      <c r="AQ110" s="546">
        <f t="shared" si="16"/>
        <v>0</v>
      </c>
      <c r="AR110" s="546">
        <f t="shared" si="16"/>
        <v>-100</v>
      </c>
      <c r="AS110" s="546">
        <f t="shared" si="16"/>
        <v>0</v>
      </c>
      <c r="AT110" s="546">
        <f t="shared" si="16"/>
        <v>0</v>
      </c>
      <c r="AU110" s="546">
        <f t="shared" si="16"/>
        <v>0</v>
      </c>
      <c r="AV110" s="546">
        <f t="shared" si="16"/>
        <v>0</v>
      </c>
      <c r="AW110" s="546">
        <f t="shared" si="16"/>
        <v>0</v>
      </c>
      <c r="AX110" s="559"/>
      <c r="AY110" s="559"/>
      <c r="AZ110" s="559"/>
    </row>
    <row r="111" spans="1:52" ht="11.25" hidden="1" outlineLevel="1" x14ac:dyDescent="0.25">
      <c r="A111" s="540" t="str">
        <f t="shared" si="15"/>
        <v>1</v>
      </c>
      <c r="L111" s="551"/>
      <c r="M111" s="591" t="s">
        <v>858</v>
      </c>
      <c r="N111" s="553"/>
      <c r="O111" s="556"/>
      <c r="P111" s="556"/>
      <c r="Q111" s="556"/>
      <c r="R111" s="556"/>
      <c r="S111" s="556"/>
      <c r="T111" s="556"/>
      <c r="U111" s="556"/>
      <c r="V111" s="556"/>
      <c r="W111" s="556"/>
      <c r="X111" s="556"/>
      <c r="Y111" s="556"/>
      <c r="Z111" s="556"/>
      <c r="AA111" s="556"/>
      <c r="AB111" s="556"/>
      <c r="AC111" s="556"/>
      <c r="AD111" s="556"/>
      <c r="AE111" s="556"/>
      <c r="AF111" s="556"/>
      <c r="AG111" s="556"/>
      <c r="AH111" s="556"/>
      <c r="AI111" s="556"/>
      <c r="AJ111" s="556"/>
      <c r="AK111" s="556"/>
      <c r="AL111" s="556"/>
      <c r="AM111" s="556"/>
      <c r="AN111" s="556"/>
      <c r="AO111" s="556"/>
      <c r="AP111" s="556"/>
      <c r="AQ111" s="556"/>
      <c r="AR111" s="556"/>
      <c r="AS111" s="556"/>
      <c r="AT111" s="556"/>
      <c r="AU111" s="556"/>
      <c r="AV111" s="556"/>
      <c r="AW111" s="556"/>
      <c r="AX111" s="579"/>
      <c r="AY111" s="579"/>
      <c r="AZ111" s="579"/>
    </row>
    <row r="112" spans="1:52" ht="22.5" hidden="1" outlineLevel="1" x14ac:dyDescent="0.25">
      <c r="A112" s="540" t="str">
        <f t="shared" si="15"/>
        <v>1</v>
      </c>
      <c r="B112" s="520" t="s">
        <v>835</v>
      </c>
      <c r="D112" s="520" t="s">
        <v>859</v>
      </c>
      <c r="L112" s="551" t="s">
        <v>223</v>
      </c>
      <c r="M112" s="552" t="s">
        <v>860</v>
      </c>
      <c r="N112" s="553" t="s">
        <v>123</v>
      </c>
      <c r="O112" s="566">
        <v>0</v>
      </c>
      <c r="P112" s="566"/>
      <c r="Q112" s="566"/>
      <c r="R112" s="562">
        <f t="shared" si="14"/>
        <v>0</v>
      </c>
      <c r="S112" s="566">
        <v>0</v>
      </c>
      <c r="T112" s="566">
        <f>SUMIFS('[14]Корректировка НВВ'!$P$15:$P$104,'[14]Корректировка НВВ'!$A$15:$A$104,$A112,'[14]Корректировка НВВ'!$D$15:$D$104,$B112)</f>
        <v>0</v>
      </c>
      <c r="U112" s="566"/>
      <c r="V112" s="566"/>
      <c r="W112" s="566"/>
      <c r="X112" s="566"/>
      <c r="Y112" s="566"/>
      <c r="Z112" s="566"/>
      <c r="AA112" s="566"/>
      <c r="AB112" s="566"/>
      <c r="AC112" s="566"/>
      <c r="AD112" s="566">
        <f>SUMIFS('[14]Корректировка НВВ'!$Q$15:$Q$104,'[14]Корректировка НВВ'!$A$15:$A$104,$A112,'[14]Корректировка НВВ'!$D$15:$D$104,$B112)</f>
        <v>0</v>
      </c>
      <c r="AE112" s="566"/>
      <c r="AF112" s="566"/>
      <c r="AG112" s="566"/>
      <c r="AH112" s="566"/>
      <c r="AI112" s="566"/>
      <c r="AJ112" s="566"/>
      <c r="AK112" s="566"/>
      <c r="AL112" s="566"/>
      <c r="AM112" s="566"/>
      <c r="AN112" s="556"/>
      <c r="AO112" s="556"/>
      <c r="AP112" s="556"/>
      <c r="AQ112" s="556"/>
      <c r="AR112" s="556"/>
      <c r="AS112" s="556"/>
      <c r="AT112" s="556"/>
      <c r="AU112" s="556"/>
      <c r="AV112" s="556"/>
      <c r="AW112" s="556"/>
      <c r="AX112" s="548"/>
      <c r="AY112" s="548"/>
      <c r="AZ112" s="548"/>
    </row>
    <row r="113" spans="1:52" ht="101.25" hidden="1" outlineLevel="1" x14ac:dyDescent="0.25">
      <c r="A113" s="540" t="str">
        <f t="shared" si="15"/>
        <v>1</v>
      </c>
      <c r="B113" s="520" t="s">
        <v>838</v>
      </c>
      <c r="D113" s="520" t="s">
        <v>861</v>
      </c>
      <c r="L113" s="551" t="s">
        <v>225</v>
      </c>
      <c r="M113" s="552" t="s">
        <v>862</v>
      </c>
      <c r="N113" s="553" t="s">
        <v>123</v>
      </c>
      <c r="O113" s="566">
        <v>0</v>
      </c>
      <c r="P113" s="566"/>
      <c r="Q113" s="566"/>
      <c r="R113" s="562">
        <f t="shared" si="14"/>
        <v>0</v>
      </c>
      <c r="S113" s="566">
        <v>0</v>
      </c>
      <c r="T113" s="566">
        <f>SUMIFS('[14]Корректировка НВВ'!$P$15:$P$104,'[14]Корректировка НВВ'!$A$15:$A$104,$A113,'[14]Корректировка НВВ'!$D$15:$D$104,$B113)</f>
        <v>0</v>
      </c>
      <c r="U113" s="566"/>
      <c r="V113" s="566"/>
      <c r="W113" s="566"/>
      <c r="X113" s="566"/>
      <c r="Y113" s="566"/>
      <c r="Z113" s="566"/>
      <c r="AA113" s="566"/>
      <c r="AB113" s="566"/>
      <c r="AC113" s="566"/>
      <c r="AD113" s="566">
        <v>-41.4</v>
      </c>
      <c r="AE113" s="566"/>
      <c r="AF113" s="566"/>
      <c r="AG113" s="566"/>
      <c r="AH113" s="566"/>
      <c r="AI113" s="566"/>
      <c r="AJ113" s="566"/>
      <c r="AK113" s="566"/>
      <c r="AL113" s="566"/>
      <c r="AM113" s="566"/>
      <c r="AN113" s="556"/>
      <c r="AO113" s="556"/>
      <c r="AP113" s="556"/>
      <c r="AQ113" s="556"/>
      <c r="AR113" s="556"/>
      <c r="AS113" s="556"/>
      <c r="AT113" s="556"/>
      <c r="AU113" s="556"/>
      <c r="AV113" s="556"/>
      <c r="AW113" s="556"/>
      <c r="AX113" s="548"/>
      <c r="AY113" s="548"/>
      <c r="AZ113" s="548"/>
    </row>
    <row r="114" spans="1:52" ht="45" hidden="1" outlineLevel="1" x14ac:dyDescent="0.25">
      <c r="A114" s="540" t="str">
        <f t="shared" si="15"/>
        <v>1</v>
      </c>
      <c r="D114" s="520" t="s">
        <v>863</v>
      </c>
      <c r="L114" s="551" t="s">
        <v>227</v>
      </c>
      <c r="M114" s="552" t="s">
        <v>864</v>
      </c>
      <c r="N114" s="553" t="s">
        <v>123</v>
      </c>
      <c r="O114" s="566">
        <v>-274.52</v>
      </c>
      <c r="P114" s="566"/>
      <c r="Q114" s="566"/>
      <c r="R114" s="562">
        <f t="shared" si="14"/>
        <v>0</v>
      </c>
      <c r="S114" s="566">
        <v>0</v>
      </c>
      <c r="T114" s="566">
        <f>SUMIFS('[14]Корректировка НВВ'!$P$15:$P$104,'[14]Корректировка НВВ'!$A$15:$A$104,$A114,'[14]Корректировка НВВ'!$D$15:$D$104,"L1")+SUMIFS('[14]Корректировка НВВ'!$P$15:$P$104,'[14]Корректировка НВВ'!$A$15:$A$104,$A114,'[14]Корректировка НВВ'!$D$15:$D$104,"L2")</f>
        <v>0</v>
      </c>
      <c r="U114" s="566"/>
      <c r="V114" s="566"/>
      <c r="W114" s="566"/>
      <c r="X114" s="566"/>
      <c r="Y114" s="566"/>
      <c r="Z114" s="566"/>
      <c r="AA114" s="566"/>
      <c r="AB114" s="566"/>
      <c r="AC114" s="566"/>
      <c r="AD114" s="566">
        <v>-265.39999999999998</v>
      </c>
      <c r="AE114" s="566">
        <v>0</v>
      </c>
      <c r="AF114" s="566">
        <v>0</v>
      </c>
      <c r="AG114" s="566">
        <v>0</v>
      </c>
      <c r="AH114" s="566"/>
      <c r="AI114" s="566"/>
      <c r="AJ114" s="566"/>
      <c r="AK114" s="566"/>
      <c r="AL114" s="566"/>
      <c r="AM114" s="566"/>
      <c r="AN114" s="556"/>
      <c r="AO114" s="556"/>
      <c r="AP114" s="556"/>
      <c r="AQ114" s="556"/>
      <c r="AR114" s="556"/>
      <c r="AS114" s="556"/>
      <c r="AT114" s="556"/>
      <c r="AU114" s="556"/>
      <c r="AV114" s="556"/>
      <c r="AW114" s="556"/>
      <c r="AX114" s="548"/>
      <c r="AY114" s="548"/>
      <c r="AZ114" s="548"/>
    </row>
    <row r="115" spans="1:52" ht="120" hidden="1" outlineLevel="1" x14ac:dyDescent="0.25">
      <c r="A115" s="540" t="str">
        <f t="shared" si="15"/>
        <v>1</v>
      </c>
      <c r="B115" s="520" t="s">
        <v>842</v>
      </c>
      <c r="C115" s="577" t="b">
        <f>D16="Водоотведение"</f>
        <v>0</v>
      </c>
      <c r="D115" s="520" t="s">
        <v>865</v>
      </c>
      <c r="L115" s="551" t="s">
        <v>229</v>
      </c>
      <c r="M115" s="594" t="s">
        <v>866</v>
      </c>
      <c r="N115" s="565" t="s">
        <v>123</v>
      </c>
      <c r="O115" s="566"/>
      <c r="P115" s="566"/>
      <c r="Q115" s="566"/>
      <c r="R115" s="562">
        <f t="shared" si="14"/>
        <v>0</v>
      </c>
      <c r="S115" s="566">
        <v>0</v>
      </c>
      <c r="T115" s="566">
        <f>SUMIFS('[14]Корректировка НВВ'!$P$15:$P$104,'[14]Корректировка НВВ'!$A$15:$A$104,$A115,'[14]Корректировка НВВ'!$D$15:$D$104,$B115)</f>
        <v>0</v>
      </c>
      <c r="U115" s="566"/>
      <c r="V115" s="566"/>
      <c r="W115" s="566"/>
      <c r="X115" s="566"/>
      <c r="Y115" s="566"/>
      <c r="Z115" s="566"/>
      <c r="AA115" s="566"/>
      <c r="AB115" s="566"/>
      <c r="AC115" s="566"/>
      <c r="AD115" s="566">
        <f>SUMIFS('[14]Корректировка НВВ'!$Q$15:$Q$104,'[14]Корректировка НВВ'!$A$15:$A$104,$A115,'[14]Корректировка НВВ'!$D$15:$D$104,$B115)</f>
        <v>0</v>
      </c>
      <c r="AE115" s="566"/>
      <c r="AF115" s="566"/>
      <c r="AG115" s="566"/>
      <c r="AH115" s="566"/>
      <c r="AI115" s="566"/>
      <c r="AJ115" s="566"/>
      <c r="AK115" s="566"/>
      <c r="AL115" s="566"/>
      <c r="AM115" s="566"/>
      <c r="AN115" s="556"/>
      <c r="AO115" s="556"/>
      <c r="AP115" s="556"/>
      <c r="AQ115" s="556"/>
      <c r="AR115" s="556"/>
      <c r="AS115" s="556"/>
      <c r="AT115" s="556"/>
      <c r="AU115" s="556"/>
      <c r="AV115" s="556"/>
      <c r="AW115" s="556"/>
      <c r="AX115" s="548"/>
      <c r="AY115" s="548"/>
      <c r="AZ115" s="548"/>
    </row>
    <row r="116" spans="1:52" ht="56.25" hidden="1" outlineLevel="1" x14ac:dyDescent="0.25">
      <c r="A116" s="540" t="str">
        <f t="shared" si="15"/>
        <v>1</v>
      </c>
      <c r="B116" s="520" t="s">
        <v>854</v>
      </c>
      <c r="C116" s="577" t="b">
        <f>D16="Водоотведение"</f>
        <v>0</v>
      </c>
      <c r="D116" s="520" t="s">
        <v>867</v>
      </c>
      <c r="L116" s="551" t="s">
        <v>231</v>
      </c>
      <c r="M116" s="552" t="s">
        <v>868</v>
      </c>
      <c r="N116" s="565" t="s">
        <v>123</v>
      </c>
      <c r="O116" s="566"/>
      <c r="P116" s="566"/>
      <c r="Q116" s="566"/>
      <c r="R116" s="562">
        <f t="shared" si="14"/>
        <v>0</v>
      </c>
      <c r="S116" s="566">
        <v>0</v>
      </c>
      <c r="T116" s="566">
        <f>SUMIFS('[14]Корректировка НВВ'!$P$15:$P$104,'[14]Корректировка НВВ'!$A$15:$A$104,$A116,'[14]Корректировка НВВ'!$D$15:$D$104,$B116)</f>
        <v>0</v>
      </c>
      <c r="U116" s="566"/>
      <c r="V116" s="566"/>
      <c r="W116" s="566"/>
      <c r="X116" s="566"/>
      <c r="Y116" s="566"/>
      <c r="Z116" s="566"/>
      <c r="AA116" s="566"/>
      <c r="AB116" s="566"/>
      <c r="AC116" s="566"/>
      <c r="AD116" s="566">
        <f>SUMIFS('[14]Корректировка НВВ'!$Q$15:$Q$104,'[14]Корректировка НВВ'!$A$15:$A$104,$A116,'[14]Корректировка НВВ'!$D$15:$D$104,$B116)</f>
        <v>0</v>
      </c>
      <c r="AE116" s="566"/>
      <c r="AF116" s="566"/>
      <c r="AG116" s="566"/>
      <c r="AH116" s="566"/>
      <c r="AI116" s="566"/>
      <c r="AJ116" s="566"/>
      <c r="AK116" s="566"/>
      <c r="AL116" s="566"/>
      <c r="AM116" s="566"/>
      <c r="AN116" s="556"/>
      <c r="AO116" s="556"/>
      <c r="AP116" s="556"/>
      <c r="AQ116" s="556"/>
      <c r="AR116" s="556"/>
      <c r="AS116" s="556"/>
      <c r="AT116" s="556"/>
      <c r="AU116" s="556"/>
      <c r="AV116" s="556"/>
      <c r="AW116" s="556"/>
      <c r="AX116" s="548"/>
      <c r="AY116" s="548"/>
      <c r="AZ116" s="548"/>
    </row>
    <row r="117" spans="1:52" ht="11.25" hidden="1" outlineLevel="1" x14ac:dyDescent="0.25">
      <c r="A117" s="540" t="str">
        <f t="shared" si="15"/>
        <v>1</v>
      </c>
      <c r="B117" s="520" t="s">
        <v>859</v>
      </c>
      <c r="D117" s="520" t="s">
        <v>869</v>
      </c>
      <c r="L117" s="551" t="s">
        <v>233</v>
      </c>
      <c r="M117" s="552" t="s">
        <v>870</v>
      </c>
      <c r="N117" s="553" t="s">
        <v>123</v>
      </c>
      <c r="O117" s="566"/>
      <c r="P117" s="566"/>
      <c r="Q117" s="566"/>
      <c r="R117" s="562">
        <f t="shared" si="14"/>
        <v>0</v>
      </c>
      <c r="S117" s="566">
        <v>0</v>
      </c>
      <c r="T117" s="566">
        <f>SUMIFS('[14]Корректировка НВВ'!$P$15:$P$104,'[14]Корректировка НВВ'!$A$15:$A$104,$A117,'[14]Корректировка НВВ'!$D$15:$D$104,$B117)</f>
        <v>0</v>
      </c>
      <c r="U117" s="566"/>
      <c r="V117" s="566"/>
      <c r="W117" s="566"/>
      <c r="X117" s="566"/>
      <c r="Y117" s="566"/>
      <c r="Z117" s="566"/>
      <c r="AA117" s="566"/>
      <c r="AB117" s="566"/>
      <c r="AC117" s="566"/>
      <c r="AD117" s="566">
        <f>SUMIFS('[14]Корректировка НВВ'!$Q$15:$Q$104,'[14]Корректировка НВВ'!$A$15:$A$104,$A117,'[14]Корректировка НВВ'!$D$15:$D$104,$B117)</f>
        <v>0</v>
      </c>
      <c r="AE117" s="566"/>
      <c r="AF117" s="566"/>
      <c r="AG117" s="566"/>
      <c r="AH117" s="566"/>
      <c r="AI117" s="566"/>
      <c r="AJ117" s="566"/>
      <c r="AK117" s="566"/>
      <c r="AL117" s="566"/>
      <c r="AM117" s="566"/>
      <c r="AN117" s="556"/>
      <c r="AO117" s="556"/>
      <c r="AP117" s="556"/>
      <c r="AQ117" s="556"/>
      <c r="AR117" s="556"/>
      <c r="AS117" s="556"/>
      <c r="AT117" s="556"/>
      <c r="AU117" s="556"/>
      <c r="AV117" s="556"/>
      <c r="AW117" s="556"/>
      <c r="AX117" s="548"/>
      <c r="AY117" s="548"/>
      <c r="AZ117" s="548"/>
    </row>
    <row r="118" spans="1:52" ht="11.25" hidden="1" outlineLevel="1" x14ac:dyDescent="0.25">
      <c r="A118" s="540" t="str">
        <f t="shared" si="15"/>
        <v>1</v>
      </c>
      <c r="B118" s="520" t="s">
        <v>861</v>
      </c>
      <c r="D118" s="520" t="s">
        <v>871</v>
      </c>
      <c r="L118" s="551" t="s">
        <v>235</v>
      </c>
      <c r="M118" s="552" t="s">
        <v>872</v>
      </c>
      <c r="N118" s="553" t="s">
        <v>123</v>
      </c>
      <c r="O118" s="566">
        <v>0</v>
      </c>
      <c r="P118" s="566">
        <f>P119+P120</f>
        <v>0</v>
      </c>
      <c r="Q118" s="566">
        <f>Q119+Q120</f>
        <v>0</v>
      </c>
      <c r="R118" s="562">
        <f t="shared" si="14"/>
        <v>0</v>
      </c>
      <c r="S118" s="566">
        <v>0</v>
      </c>
      <c r="T118" s="566">
        <v>0</v>
      </c>
      <c r="U118" s="566">
        <v>0</v>
      </c>
      <c r="V118" s="566">
        <v>0</v>
      </c>
      <c r="W118" s="566">
        <v>0</v>
      </c>
      <c r="X118" s="566">
        <f t="shared" ref="X118:AM118" si="19">X119+X120</f>
        <v>0</v>
      </c>
      <c r="Y118" s="566">
        <f t="shared" si="19"/>
        <v>0</v>
      </c>
      <c r="Z118" s="566">
        <f t="shared" si="19"/>
        <v>0</v>
      </c>
      <c r="AA118" s="566">
        <f t="shared" si="19"/>
        <v>0</v>
      </c>
      <c r="AB118" s="566">
        <f t="shared" si="19"/>
        <v>0</v>
      </c>
      <c r="AC118" s="566">
        <f t="shared" si="19"/>
        <v>0</v>
      </c>
      <c r="AD118" s="566">
        <v>0</v>
      </c>
      <c r="AE118" s="566">
        <v>0</v>
      </c>
      <c r="AF118" s="566">
        <v>0</v>
      </c>
      <c r="AG118" s="566">
        <v>0</v>
      </c>
      <c r="AH118" s="566">
        <f t="shared" si="19"/>
        <v>0</v>
      </c>
      <c r="AI118" s="566">
        <f t="shared" si="19"/>
        <v>0</v>
      </c>
      <c r="AJ118" s="566">
        <f t="shared" si="19"/>
        <v>0</v>
      </c>
      <c r="AK118" s="566">
        <f t="shared" si="19"/>
        <v>0</v>
      </c>
      <c r="AL118" s="566">
        <f t="shared" si="19"/>
        <v>0</v>
      </c>
      <c r="AM118" s="566">
        <f t="shared" si="19"/>
        <v>0</v>
      </c>
      <c r="AN118" s="562">
        <f>IF(S118=0,0,(AD118-S118)/S118*100)</f>
        <v>0</v>
      </c>
      <c r="AO118" s="562">
        <f t="shared" ref="AO118:AW118" si="20">IF(AD118=0,0,(AE118-AD118)/AD118*100)</f>
        <v>0</v>
      </c>
      <c r="AP118" s="562">
        <f t="shared" si="20"/>
        <v>0</v>
      </c>
      <c r="AQ118" s="562">
        <f t="shared" si="20"/>
        <v>0</v>
      </c>
      <c r="AR118" s="562">
        <f t="shared" si="20"/>
        <v>0</v>
      </c>
      <c r="AS118" s="562">
        <f t="shared" si="20"/>
        <v>0</v>
      </c>
      <c r="AT118" s="562">
        <f t="shared" si="20"/>
        <v>0</v>
      </c>
      <c r="AU118" s="562">
        <f t="shared" si="20"/>
        <v>0</v>
      </c>
      <c r="AV118" s="562">
        <f t="shared" si="20"/>
        <v>0</v>
      </c>
      <c r="AW118" s="562">
        <f t="shared" si="20"/>
        <v>0</v>
      </c>
      <c r="AX118" s="548"/>
      <c r="AY118" s="548"/>
      <c r="AZ118" s="548"/>
    </row>
    <row r="119" spans="1:52" ht="30" hidden="1" outlineLevel="1" x14ac:dyDescent="0.25">
      <c r="A119" s="540" t="str">
        <f t="shared" si="15"/>
        <v>1</v>
      </c>
      <c r="B119" s="520" t="s">
        <v>873</v>
      </c>
      <c r="D119" s="520" t="s">
        <v>874</v>
      </c>
      <c r="L119" s="551" t="s">
        <v>875</v>
      </c>
      <c r="M119" s="595" t="s">
        <v>876</v>
      </c>
      <c r="N119" s="553" t="s">
        <v>123</v>
      </c>
      <c r="O119" s="566">
        <v>0</v>
      </c>
      <c r="P119" s="566"/>
      <c r="Q119" s="566"/>
      <c r="R119" s="562">
        <f t="shared" si="14"/>
        <v>0</v>
      </c>
      <c r="S119" s="566">
        <v>0</v>
      </c>
      <c r="T119" s="566">
        <f>SUMIFS('[14]Корректировка НВВ'!$P$15:$P$104,'[14]Корректировка НВВ'!$A$15:$A$104,$A119,'[14]Корректировка НВВ'!$D$15:$D$104,$B119)</f>
        <v>0</v>
      </c>
      <c r="U119" s="566"/>
      <c r="V119" s="566"/>
      <c r="W119" s="566"/>
      <c r="X119" s="566"/>
      <c r="Y119" s="566"/>
      <c r="Z119" s="566"/>
      <c r="AA119" s="566"/>
      <c r="AB119" s="566"/>
      <c r="AC119" s="566"/>
      <c r="AD119" s="566">
        <f>SUMIFS('[14]Корректировка НВВ'!$Q$15:$Q$104,'[14]Корректировка НВВ'!$A$15:$A$104,$A119,'[14]Корректировка НВВ'!$D$15:$D$104,$B119)</f>
        <v>0</v>
      </c>
      <c r="AE119" s="566"/>
      <c r="AF119" s="566"/>
      <c r="AG119" s="566"/>
      <c r="AH119" s="566"/>
      <c r="AI119" s="566"/>
      <c r="AJ119" s="566"/>
      <c r="AK119" s="566"/>
      <c r="AL119" s="566"/>
      <c r="AM119" s="566"/>
      <c r="AN119" s="556"/>
      <c r="AO119" s="556"/>
      <c r="AP119" s="556"/>
      <c r="AQ119" s="556"/>
      <c r="AR119" s="556"/>
      <c r="AS119" s="556"/>
      <c r="AT119" s="556"/>
      <c r="AU119" s="556"/>
      <c r="AV119" s="556"/>
      <c r="AW119" s="556"/>
      <c r="AX119" s="548"/>
      <c r="AY119" s="548"/>
      <c r="AZ119" s="548"/>
    </row>
    <row r="120" spans="1:52" ht="22.5" hidden="1" outlineLevel="1" x14ac:dyDescent="0.25">
      <c r="A120" s="540" t="str">
        <f t="shared" si="15"/>
        <v>1</v>
      </c>
      <c r="B120" s="520" t="s">
        <v>877</v>
      </c>
      <c r="D120" s="520" t="s">
        <v>878</v>
      </c>
      <c r="L120" s="551" t="s">
        <v>879</v>
      </c>
      <c r="M120" s="586" t="s">
        <v>880</v>
      </c>
      <c r="N120" s="553" t="s">
        <v>123</v>
      </c>
      <c r="O120" s="566">
        <v>0</v>
      </c>
      <c r="P120" s="566"/>
      <c r="Q120" s="566"/>
      <c r="R120" s="562">
        <f t="shared" si="14"/>
        <v>0</v>
      </c>
      <c r="S120" s="566">
        <v>0</v>
      </c>
      <c r="T120" s="566">
        <f>SUMIFS('[14]Корректировка НВВ'!$P$15:$P$104,'[14]Корректировка НВВ'!$A$15:$A$104,$A120,'[14]Корректировка НВВ'!$D$15:$D$104,$B120)</f>
        <v>0</v>
      </c>
      <c r="U120" s="566"/>
      <c r="V120" s="566"/>
      <c r="W120" s="566"/>
      <c r="X120" s="566"/>
      <c r="Y120" s="566"/>
      <c r="Z120" s="566"/>
      <c r="AA120" s="566"/>
      <c r="AB120" s="566"/>
      <c r="AC120" s="566"/>
      <c r="AD120" s="566">
        <f>SUMIFS('[14]Корректировка НВВ'!$Q$15:$Q$104,'[14]Корректировка НВВ'!$A$15:$A$104,$A120,'[14]Корректировка НВВ'!$D$15:$D$104,$B120)</f>
        <v>0</v>
      </c>
      <c r="AE120" s="566"/>
      <c r="AF120" s="566"/>
      <c r="AG120" s="566"/>
      <c r="AH120" s="566"/>
      <c r="AI120" s="566"/>
      <c r="AJ120" s="566"/>
      <c r="AK120" s="566"/>
      <c r="AL120" s="566"/>
      <c r="AM120" s="566"/>
      <c r="AN120" s="556"/>
      <c r="AO120" s="556"/>
      <c r="AP120" s="556"/>
      <c r="AQ120" s="556"/>
      <c r="AR120" s="556"/>
      <c r="AS120" s="556"/>
      <c r="AT120" s="556"/>
      <c r="AU120" s="556"/>
      <c r="AV120" s="556"/>
      <c r="AW120" s="556"/>
      <c r="AX120" s="548"/>
      <c r="AY120" s="548"/>
      <c r="AZ120" s="548"/>
    </row>
    <row r="121" spans="1:52" ht="11.25" hidden="1" outlineLevel="1" x14ac:dyDescent="0.25">
      <c r="A121" s="540" t="str">
        <f t="shared" si="15"/>
        <v>1</v>
      </c>
      <c r="B121" s="520" t="s">
        <v>863</v>
      </c>
      <c r="D121" s="520" t="s">
        <v>881</v>
      </c>
      <c r="L121" s="596" t="s">
        <v>237</v>
      </c>
      <c r="M121" s="587" t="s">
        <v>882</v>
      </c>
      <c r="N121" s="553" t="s">
        <v>123</v>
      </c>
      <c r="O121" s="566">
        <v>0</v>
      </c>
      <c r="P121" s="566"/>
      <c r="Q121" s="566"/>
      <c r="R121" s="562">
        <f t="shared" si="14"/>
        <v>0</v>
      </c>
      <c r="S121" s="566">
        <v>0</v>
      </c>
      <c r="T121" s="566">
        <f>SUMIFS('[14]Корректировка НВВ'!$P$15:$P$104,'[14]Корректировка НВВ'!$A$15:$A$104,$A121,'[14]Корректировка НВВ'!$D$15:$D$104,$B121)</f>
        <v>0</v>
      </c>
      <c r="U121" s="566"/>
      <c r="V121" s="566"/>
      <c r="W121" s="566"/>
      <c r="X121" s="566"/>
      <c r="Y121" s="566"/>
      <c r="Z121" s="566"/>
      <c r="AA121" s="566"/>
      <c r="AB121" s="566"/>
      <c r="AC121" s="566"/>
      <c r="AD121" s="566">
        <f>SUMIFS('[14]Корректировка НВВ'!$Q$15:$Q$104,'[14]Корректировка НВВ'!$A$15:$A$104,$A121,'[14]Корректировка НВВ'!$D$15:$D$104,$B121)</f>
        <v>0</v>
      </c>
      <c r="AE121" s="566"/>
      <c r="AF121" s="566"/>
      <c r="AG121" s="566"/>
      <c r="AH121" s="566"/>
      <c r="AI121" s="566"/>
      <c r="AJ121" s="566"/>
      <c r="AK121" s="566"/>
      <c r="AL121" s="566"/>
      <c r="AM121" s="566"/>
      <c r="AN121" s="556"/>
      <c r="AO121" s="556"/>
      <c r="AP121" s="556"/>
      <c r="AQ121" s="556"/>
      <c r="AR121" s="556"/>
      <c r="AS121" s="556"/>
      <c r="AT121" s="556"/>
      <c r="AU121" s="556"/>
      <c r="AV121" s="556"/>
      <c r="AW121" s="556"/>
      <c r="AX121" s="548"/>
      <c r="AY121" s="548"/>
      <c r="AZ121" s="548"/>
    </row>
    <row r="122" spans="1:52" ht="11.25" hidden="1" outlineLevel="1" x14ac:dyDescent="0.25">
      <c r="A122" s="540" t="str">
        <f t="shared" si="15"/>
        <v>1</v>
      </c>
      <c r="B122" s="520" t="s">
        <v>883</v>
      </c>
      <c r="D122" s="520" t="s">
        <v>884</v>
      </c>
      <c r="L122" s="596" t="s">
        <v>239</v>
      </c>
      <c r="M122" s="587" t="s">
        <v>885</v>
      </c>
      <c r="N122" s="553" t="s">
        <v>123</v>
      </c>
      <c r="O122" s="566">
        <v>0</v>
      </c>
      <c r="P122" s="566"/>
      <c r="Q122" s="566"/>
      <c r="R122" s="562">
        <f t="shared" si="14"/>
        <v>0</v>
      </c>
      <c r="S122" s="566">
        <v>0</v>
      </c>
      <c r="T122" s="566">
        <f>SUMIFS('[14]Корректировка НВВ'!$P$15:$P$104,'[14]Корректировка НВВ'!$A$15:$A$104,$A122,'[14]Корректировка НВВ'!$D$15:$D$104,$B122)</f>
        <v>0</v>
      </c>
      <c r="U122" s="566"/>
      <c r="V122" s="566"/>
      <c r="W122" s="566"/>
      <c r="X122" s="566"/>
      <c r="Y122" s="566"/>
      <c r="Z122" s="566"/>
      <c r="AA122" s="566"/>
      <c r="AB122" s="566"/>
      <c r="AC122" s="566"/>
      <c r="AD122" s="566">
        <f>SUMIFS('[14]Корректировка НВВ'!$Q$15:$Q$104,'[14]Корректировка НВВ'!$A$15:$A$104,$A122,'[14]Корректировка НВВ'!$D$15:$D$104,$B122)</f>
        <v>0</v>
      </c>
      <c r="AE122" s="566"/>
      <c r="AF122" s="566"/>
      <c r="AG122" s="566"/>
      <c r="AH122" s="566"/>
      <c r="AI122" s="566"/>
      <c r="AJ122" s="566"/>
      <c r="AK122" s="566"/>
      <c r="AL122" s="566"/>
      <c r="AM122" s="566"/>
      <c r="AN122" s="556"/>
      <c r="AO122" s="556"/>
      <c r="AP122" s="556"/>
      <c r="AQ122" s="556"/>
      <c r="AR122" s="556"/>
      <c r="AS122" s="556"/>
      <c r="AT122" s="556"/>
      <c r="AU122" s="556"/>
      <c r="AV122" s="556"/>
      <c r="AW122" s="556"/>
      <c r="AX122" s="548"/>
      <c r="AY122" s="548"/>
      <c r="AZ122" s="548"/>
    </row>
    <row r="123" spans="1:52" s="572" customFormat="1" ht="11.25" hidden="1" outlineLevel="1" x14ac:dyDescent="0.25">
      <c r="A123" s="540" t="str">
        <f t="shared" si="15"/>
        <v>1</v>
      </c>
      <c r="D123" s="572" t="s">
        <v>883</v>
      </c>
      <c r="L123" s="573" t="s">
        <v>259</v>
      </c>
      <c r="M123" s="590" t="s">
        <v>886</v>
      </c>
      <c r="N123" s="575" t="s">
        <v>123</v>
      </c>
      <c r="O123" s="547">
        <v>0</v>
      </c>
      <c r="P123" s="547"/>
      <c r="Q123" s="547"/>
      <c r="R123" s="546">
        <f t="shared" si="14"/>
        <v>0</v>
      </c>
      <c r="S123" s="547"/>
      <c r="T123" s="547"/>
      <c r="U123" s="547"/>
      <c r="V123" s="547"/>
      <c r="W123" s="547"/>
      <c r="X123" s="547"/>
      <c r="Y123" s="547"/>
      <c r="Z123" s="547"/>
      <c r="AA123" s="547"/>
      <c r="AB123" s="547"/>
      <c r="AC123" s="547"/>
      <c r="AD123" s="547">
        <v>224</v>
      </c>
      <c r="AE123" s="547"/>
      <c r="AF123" s="547"/>
      <c r="AG123" s="547"/>
      <c r="AH123" s="547"/>
      <c r="AI123" s="547"/>
      <c r="AJ123" s="547"/>
      <c r="AK123" s="547"/>
      <c r="AL123" s="547"/>
      <c r="AM123" s="547"/>
      <c r="AN123" s="558"/>
      <c r="AO123" s="558"/>
      <c r="AP123" s="558"/>
      <c r="AQ123" s="558"/>
      <c r="AR123" s="558"/>
      <c r="AS123" s="558"/>
      <c r="AT123" s="558"/>
      <c r="AU123" s="558"/>
      <c r="AV123" s="558"/>
      <c r="AW123" s="558"/>
      <c r="AX123" s="559"/>
      <c r="AY123" s="559"/>
      <c r="AZ123" s="559"/>
    </row>
    <row r="124" spans="1:52" ht="11.25" hidden="1" outlineLevel="1" x14ac:dyDescent="0.25">
      <c r="A124" s="540" t="str">
        <f t="shared" si="15"/>
        <v>1</v>
      </c>
      <c r="D124" s="520" t="s">
        <v>887</v>
      </c>
      <c r="L124" s="551" t="s">
        <v>888</v>
      </c>
      <c r="M124" s="552" t="s">
        <v>889</v>
      </c>
      <c r="N124" s="553" t="s">
        <v>46</v>
      </c>
      <c r="O124" s="562" t="e">
        <f>IF(O125=0,0,O123/O125*100)</f>
        <v>#VALUE!</v>
      </c>
      <c r="P124" s="562" t="e">
        <f>IF(P125=0,0,P123/P125*100)</f>
        <v>#REF!</v>
      </c>
      <c r="Q124" s="562" t="e">
        <f>IF(Q125=0,0,Q123/Q125*100)</f>
        <v>#REF!</v>
      </c>
      <c r="R124" s="562" t="e">
        <f>Q124-P124</f>
        <v>#REF!</v>
      </c>
      <c r="S124" s="562" t="e">
        <f t="shared" ref="S124:AM124" si="21">IF(S125=0,0,S123/S125*100)</f>
        <v>#VALUE!</v>
      </c>
      <c r="T124" s="562" t="e">
        <f t="shared" si="21"/>
        <v>#VALUE!</v>
      </c>
      <c r="U124" s="562" t="e">
        <f t="shared" si="21"/>
        <v>#VALUE!</v>
      </c>
      <c r="V124" s="562" t="e">
        <f t="shared" si="21"/>
        <v>#VALUE!</v>
      </c>
      <c r="W124" s="562" t="e">
        <f t="shared" si="21"/>
        <v>#VALUE!</v>
      </c>
      <c r="X124" s="562" t="e">
        <f t="shared" si="21"/>
        <v>#REF!</v>
      </c>
      <c r="Y124" s="562" t="e">
        <f t="shared" si="21"/>
        <v>#REF!</v>
      </c>
      <c r="Z124" s="562" t="e">
        <f t="shared" si="21"/>
        <v>#REF!</v>
      </c>
      <c r="AA124" s="562" t="e">
        <f t="shared" si="21"/>
        <v>#REF!</v>
      </c>
      <c r="AB124" s="562" t="e">
        <f t="shared" si="21"/>
        <v>#REF!</v>
      </c>
      <c r="AC124" s="562" t="e">
        <f t="shared" si="21"/>
        <v>#REF!</v>
      </c>
      <c r="AD124" s="562" t="e">
        <f t="shared" si="21"/>
        <v>#VALUE!</v>
      </c>
      <c r="AE124" s="562" t="e">
        <f t="shared" si="21"/>
        <v>#VALUE!</v>
      </c>
      <c r="AF124" s="562" t="e">
        <f t="shared" si="21"/>
        <v>#VALUE!</v>
      </c>
      <c r="AG124" s="562" t="e">
        <f t="shared" si="21"/>
        <v>#VALUE!</v>
      </c>
      <c r="AH124" s="562" t="e">
        <f t="shared" si="21"/>
        <v>#REF!</v>
      </c>
      <c r="AI124" s="562" t="e">
        <f t="shared" si="21"/>
        <v>#REF!</v>
      </c>
      <c r="AJ124" s="562" t="e">
        <f t="shared" si="21"/>
        <v>#REF!</v>
      </c>
      <c r="AK124" s="562" t="e">
        <f t="shared" si="21"/>
        <v>#REF!</v>
      </c>
      <c r="AL124" s="562" t="e">
        <f t="shared" si="21"/>
        <v>#REF!</v>
      </c>
      <c r="AM124" s="562" t="e">
        <f t="shared" si="21"/>
        <v>#REF!</v>
      </c>
      <c r="AN124" s="556"/>
      <c r="AO124" s="556"/>
      <c r="AP124" s="556"/>
      <c r="AQ124" s="556"/>
      <c r="AR124" s="556"/>
      <c r="AS124" s="556"/>
      <c r="AT124" s="556"/>
      <c r="AU124" s="556"/>
      <c r="AV124" s="556"/>
      <c r="AW124" s="556"/>
      <c r="AX124" s="548"/>
      <c r="AY124" s="548"/>
      <c r="AZ124" s="548"/>
    </row>
    <row r="125" spans="1:52" s="572" customFormat="1" ht="11.25" hidden="1" outlineLevel="1" x14ac:dyDescent="0.25">
      <c r="A125" s="540" t="str">
        <f t="shared" si="15"/>
        <v>1</v>
      </c>
      <c r="C125" s="520"/>
      <c r="D125" s="520" t="s">
        <v>855</v>
      </c>
      <c r="L125" s="573" t="s">
        <v>261</v>
      </c>
      <c r="M125" s="590" t="s">
        <v>890</v>
      </c>
      <c r="N125" s="545" t="s">
        <v>123</v>
      </c>
      <c r="O125" s="597" t="e">
        <f>O17+O67+O101+O102+O104+O109</f>
        <v>#VALUE!</v>
      </c>
      <c r="P125" s="576" t="e">
        <f>P17+P67+P101+P102+P104+P109</f>
        <v>#REF!</v>
      </c>
      <c r="Q125" s="576" t="e">
        <f>Q17+Q67+Q101+Q102+Q104+Q109</f>
        <v>#REF!</v>
      </c>
      <c r="R125" s="546" t="e">
        <f>Q125-P125</f>
        <v>#REF!</v>
      </c>
      <c r="S125" s="576" t="e">
        <f t="shared" ref="S125:AM125" si="22">S17+S67+S101+S102+S104+S109</f>
        <v>#VALUE!</v>
      </c>
      <c r="T125" s="576" t="e">
        <f t="shared" si="22"/>
        <v>#VALUE!</v>
      </c>
      <c r="U125" s="576" t="e">
        <f t="shared" si="22"/>
        <v>#VALUE!</v>
      </c>
      <c r="V125" s="576" t="e">
        <f t="shared" si="22"/>
        <v>#VALUE!</v>
      </c>
      <c r="W125" s="576" t="e">
        <f t="shared" si="22"/>
        <v>#VALUE!</v>
      </c>
      <c r="X125" s="576" t="e">
        <f t="shared" si="22"/>
        <v>#REF!</v>
      </c>
      <c r="Y125" s="576" t="e">
        <f t="shared" si="22"/>
        <v>#REF!</v>
      </c>
      <c r="Z125" s="576" t="e">
        <f t="shared" si="22"/>
        <v>#REF!</v>
      </c>
      <c r="AA125" s="576" t="e">
        <f t="shared" si="22"/>
        <v>#REF!</v>
      </c>
      <c r="AB125" s="576" t="e">
        <f t="shared" si="22"/>
        <v>#REF!</v>
      </c>
      <c r="AC125" s="576" t="e">
        <f t="shared" si="22"/>
        <v>#REF!</v>
      </c>
      <c r="AD125" s="576" t="e">
        <f t="shared" si="22"/>
        <v>#VALUE!</v>
      </c>
      <c r="AE125" s="576" t="e">
        <f t="shared" si="22"/>
        <v>#VALUE!</v>
      </c>
      <c r="AF125" s="576" t="e">
        <f t="shared" si="22"/>
        <v>#VALUE!</v>
      </c>
      <c r="AG125" s="576" t="e">
        <f t="shared" si="22"/>
        <v>#VALUE!</v>
      </c>
      <c r="AH125" s="576" t="e">
        <f t="shared" si="22"/>
        <v>#REF!</v>
      </c>
      <c r="AI125" s="576" t="e">
        <f t="shared" si="22"/>
        <v>#REF!</v>
      </c>
      <c r="AJ125" s="576" t="e">
        <f t="shared" si="22"/>
        <v>#REF!</v>
      </c>
      <c r="AK125" s="576" t="e">
        <f t="shared" si="22"/>
        <v>#REF!</v>
      </c>
      <c r="AL125" s="576" t="e">
        <f t="shared" si="22"/>
        <v>#REF!</v>
      </c>
      <c r="AM125" s="576" t="e">
        <f t="shared" si="22"/>
        <v>#REF!</v>
      </c>
      <c r="AN125" s="546" t="e">
        <f>IF(S125=0,0,(AD125-S125)/S125*100)</f>
        <v>#VALUE!</v>
      </c>
      <c r="AO125" s="546" t="e">
        <f t="shared" ref="AO125:AW126" si="23">IF(AD125=0,0,(AE125-AD125)/AD125*100)</f>
        <v>#VALUE!</v>
      </c>
      <c r="AP125" s="546" t="e">
        <f t="shared" si="23"/>
        <v>#VALUE!</v>
      </c>
      <c r="AQ125" s="546" t="e">
        <f t="shared" si="23"/>
        <v>#VALUE!</v>
      </c>
      <c r="AR125" s="546" t="e">
        <f t="shared" si="23"/>
        <v>#VALUE!</v>
      </c>
      <c r="AS125" s="546" t="e">
        <f t="shared" si="23"/>
        <v>#REF!</v>
      </c>
      <c r="AT125" s="546" t="e">
        <f t="shared" si="23"/>
        <v>#REF!</v>
      </c>
      <c r="AU125" s="546" t="e">
        <f t="shared" si="23"/>
        <v>#REF!</v>
      </c>
      <c r="AV125" s="546" t="e">
        <f t="shared" si="23"/>
        <v>#REF!</v>
      </c>
      <c r="AW125" s="546" t="e">
        <f t="shared" si="23"/>
        <v>#REF!</v>
      </c>
      <c r="AX125" s="548"/>
      <c r="AY125" s="548"/>
      <c r="AZ125" s="548"/>
    </row>
    <row r="126" spans="1:52" s="572" customFormat="1" ht="11.25" hidden="1" outlineLevel="1" x14ac:dyDescent="0.25">
      <c r="A126" s="540" t="str">
        <f t="shared" si="15"/>
        <v>1</v>
      </c>
      <c r="C126" s="520"/>
      <c r="D126" s="520" t="s">
        <v>891</v>
      </c>
      <c r="L126" s="573" t="s">
        <v>892</v>
      </c>
      <c r="M126" s="590" t="s">
        <v>893</v>
      </c>
      <c r="N126" s="575" t="s">
        <v>123</v>
      </c>
      <c r="O126" s="597" t="e">
        <f t="shared" ref="O126:AM126" si="24">O125+O110+O123</f>
        <v>#VALUE!</v>
      </c>
      <c r="P126" s="576" t="e">
        <f t="shared" si="24"/>
        <v>#REF!</v>
      </c>
      <c r="Q126" s="576" t="e">
        <f t="shared" si="24"/>
        <v>#REF!</v>
      </c>
      <c r="R126" s="576" t="e">
        <f t="shared" si="24"/>
        <v>#REF!</v>
      </c>
      <c r="S126" s="576" t="e">
        <f t="shared" si="24"/>
        <v>#VALUE!</v>
      </c>
      <c r="T126" s="576" t="e">
        <f t="shared" si="24"/>
        <v>#VALUE!</v>
      </c>
      <c r="U126" s="576" t="e">
        <f t="shared" si="24"/>
        <v>#VALUE!</v>
      </c>
      <c r="V126" s="576" t="e">
        <f t="shared" si="24"/>
        <v>#VALUE!</v>
      </c>
      <c r="W126" s="576" t="e">
        <f t="shared" si="24"/>
        <v>#VALUE!</v>
      </c>
      <c r="X126" s="576" t="e">
        <f t="shared" si="24"/>
        <v>#REF!</v>
      </c>
      <c r="Y126" s="576" t="e">
        <f t="shared" si="24"/>
        <v>#REF!</v>
      </c>
      <c r="Z126" s="576" t="e">
        <f t="shared" si="24"/>
        <v>#REF!</v>
      </c>
      <c r="AA126" s="576" t="e">
        <f t="shared" si="24"/>
        <v>#REF!</v>
      </c>
      <c r="AB126" s="576" t="e">
        <f t="shared" si="24"/>
        <v>#REF!</v>
      </c>
      <c r="AC126" s="576" t="e">
        <f t="shared" si="24"/>
        <v>#REF!</v>
      </c>
      <c r="AD126" s="576" t="e">
        <f t="shared" si="24"/>
        <v>#VALUE!</v>
      </c>
      <c r="AE126" s="576" t="e">
        <f t="shared" si="24"/>
        <v>#VALUE!</v>
      </c>
      <c r="AF126" s="576" t="e">
        <f t="shared" si="24"/>
        <v>#VALUE!</v>
      </c>
      <c r="AG126" s="576" t="e">
        <f t="shared" si="24"/>
        <v>#VALUE!</v>
      </c>
      <c r="AH126" s="576" t="e">
        <f t="shared" si="24"/>
        <v>#REF!</v>
      </c>
      <c r="AI126" s="576" t="e">
        <f t="shared" si="24"/>
        <v>#REF!</v>
      </c>
      <c r="AJ126" s="576" t="e">
        <f t="shared" si="24"/>
        <v>#REF!</v>
      </c>
      <c r="AK126" s="576" t="e">
        <f t="shared" si="24"/>
        <v>#REF!</v>
      </c>
      <c r="AL126" s="576" t="e">
        <f t="shared" si="24"/>
        <v>#REF!</v>
      </c>
      <c r="AM126" s="576" t="e">
        <f t="shared" si="24"/>
        <v>#REF!</v>
      </c>
      <c r="AN126" s="546" t="e">
        <f>IF(S126=0,0,(AD126-S126)/S126*100)</f>
        <v>#VALUE!</v>
      </c>
      <c r="AO126" s="546" t="e">
        <f t="shared" si="23"/>
        <v>#VALUE!</v>
      </c>
      <c r="AP126" s="546" t="e">
        <f t="shared" si="23"/>
        <v>#VALUE!</v>
      </c>
      <c r="AQ126" s="546" t="e">
        <f t="shared" si="23"/>
        <v>#VALUE!</v>
      </c>
      <c r="AR126" s="546" t="e">
        <f t="shared" si="23"/>
        <v>#VALUE!</v>
      </c>
      <c r="AS126" s="546" t="e">
        <f t="shared" si="23"/>
        <v>#REF!</v>
      </c>
      <c r="AT126" s="546" t="e">
        <f t="shared" si="23"/>
        <v>#REF!</v>
      </c>
      <c r="AU126" s="546" t="e">
        <f t="shared" si="23"/>
        <v>#REF!</v>
      </c>
      <c r="AV126" s="546" t="e">
        <f t="shared" si="23"/>
        <v>#REF!</v>
      </c>
      <c r="AW126" s="546" t="e">
        <f t="shared" si="23"/>
        <v>#REF!</v>
      </c>
      <c r="AX126" s="548"/>
      <c r="AY126" s="548"/>
      <c r="AZ126" s="548"/>
    </row>
    <row r="127" spans="1:52" ht="15" hidden="1" outlineLevel="1" x14ac:dyDescent="0.25">
      <c r="A127" s="540" t="str">
        <f t="shared" si="15"/>
        <v>1</v>
      </c>
      <c r="C127" s="577" t="b">
        <f>B16="двухставочный"</f>
        <v>0</v>
      </c>
      <c r="D127" s="598" t="s">
        <v>894</v>
      </c>
      <c r="L127" s="596" t="s">
        <v>895</v>
      </c>
      <c r="M127" s="587" t="s">
        <v>896</v>
      </c>
      <c r="N127" s="553" t="s">
        <v>123</v>
      </c>
      <c r="O127" s="566"/>
      <c r="P127" s="566"/>
      <c r="Q127" s="566"/>
      <c r="R127" s="562">
        <f>Q127-P127</f>
        <v>0</v>
      </c>
      <c r="S127" s="566"/>
      <c r="T127" s="566"/>
      <c r="U127" s="566"/>
      <c r="V127" s="566"/>
      <c r="W127" s="566"/>
      <c r="X127" s="566"/>
      <c r="Y127" s="566"/>
      <c r="Z127" s="566"/>
      <c r="AA127" s="566"/>
      <c r="AB127" s="566"/>
      <c r="AC127" s="566"/>
      <c r="AD127" s="566"/>
      <c r="AE127" s="566"/>
      <c r="AF127" s="566"/>
      <c r="AG127" s="566"/>
      <c r="AH127" s="566"/>
      <c r="AI127" s="566"/>
      <c r="AJ127" s="566"/>
      <c r="AK127" s="566"/>
      <c r="AL127" s="566"/>
      <c r="AM127" s="566"/>
      <c r="AN127" s="556"/>
      <c r="AO127" s="556"/>
      <c r="AP127" s="556"/>
      <c r="AQ127" s="556"/>
      <c r="AR127" s="556"/>
      <c r="AS127" s="556"/>
      <c r="AT127" s="556"/>
      <c r="AU127" s="556"/>
      <c r="AV127" s="556"/>
      <c r="AW127" s="556"/>
      <c r="AX127" s="548"/>
      <c r="AY127" s="548"/>
      <c r="AZ127" s="548"/>
    </row>
    <row r="128" spans="1:52" ht="15" hidden="1" outlineLevel="1" x14ac:dyDescent="0.25">
      <c r="A128" s="540" t="str">
        <f t="shared" si="15"/>
        <v>1</v>
      </c>
      <c r="C128" s="577" t="b">
        <f>B16="двухставочный"</f>
        <v>0</v>
      </c>
      <c r="D128" s="598" t="s">
        <v>897</v>
      </c>
      <c r="L128" s="596" t="s">
        <v>898</v>
      </c>
      <c r="M128" s="587" t="s">
        <v>899</v>
      </c>
      <c r="N128" s="553" t="s">
        <v>123</v>
      </c>
      <c r="O128" s="566"/>
      <c r="P128" s="566"/>
      <c r="Q128" s="566"/>
      <c r="R128" s="562">
        <f>Q128-P128</f>
        <v>0</v>
      </c>
      <c r="S128" s="566"/>
      <c r="T128" s="566"/>
      <c r="U128" s="566"/>
      <c r="V128" s="566"/>
      <c r="W128" s="566"/>
      <c r="X128" s="566"/>
      <c r="Y128" s="566"/>
      <c r="Z128" s="566"/>
      <c r="AA128" s="566"/>
      <c r="AB128" s="566"/>
      <c r="AC128" s="566"/>
      <c r="AD128" s="566"/>
      <c r="AE128" s="566"/>
      <c r="AF128" s="566"/>
      <c r="AG128" s="566"/>
      <c r="AH128" s="566"/>
      <c r="AI128" s="566"/>
      <c r="AJ128" s="566"/>
      <c r="AK128" s="566"/>
      <c r="AL128" s="566"/>
      <c r="AM128" s="566"/>
      <c r="AN128" s="556"/>
      <c r="AO128" s="556"/>
      <c r="AP128" s="556"/>
      <c r="AQ128" s="556"/>
      <c r="AR128" s="556"/>
      <c r="AS128" s="556"/>
      <c r="AT128" s="556"/>
      <c r="AU128" s="556"/>
      <c r="AV128" s="556"/>
      <c r="AW128" s="556"/>
      <c r="AX128" s="548"/>
      <c r="AY128" s="548"/>
      <c r="AZ128" s="548"/>
    </row>
    <row r="129" spans="1:53" s="572" customFormat="1" ht="11.25" hidden="1" outlineLevel="1" x14ac:dyDescent="0.25">
      <c r="A129" s="540" t="str">
        <f t="shared" si="15"/>
        <v>1</v>
      </c>
      <c r="B129" s="520" t="s">
        <v>900</v>
      </c>
      <c r="C129" s="520"/>
      <c r="D129" s="520" t="s">
        <v>901</v>
      </c>
      <c r="L129" s="573" t="s">
        <v>902</v>
      </c>
      <c r="M129" s="590" t="s">
        <v>903</v>
      </c>
      <c r="N129" s="575" t="s">
        <v>14</v>
      </c>
      <c r="O129" s="599">
        <f>SUMIFS([14]Баланс!O$16:O$95,[14]Баланс!$A$16:$A$95,$A129,[14]Баланс!$B$16:$B$95,"ПО")</f>
        <v>123.55</v>
      </c>
      <c r="P129" s="599">
        <f>SUMIFS([14]Баланс!P$16:P$95,[14]Баланс!$A$16:$A$95,$A129,[14]Баланс!$B$16:$B$95,"ПО")</f>
        <v>113.08600000000001</v>
      </c>
      <c r="Q129" s="599">
        <f>SUMIFS([14]Баланс!Q$16:Q$95,[14]Баланс!$A$16:$A$95,$A129,[14]Баланс!$B$16:$B$95,"ПО")</f>
        <v>113.08600000000001</v>
      </c>
      <c r="R129" s="599">
        <f>Q129-P129</f>
        <v>0</v>
      </c>
      <c r="S129" s="599">
        <f>SUMIFS([14]Баланс!R$16:R$95,[14]Баланс!$A$16:$A$95,$A129,[14]Баланс!$B$16:$B$95,"ПО")</f>
        <v>107.05</v>
      </c>
      <c r="T129" s="599">
        <f>SUMIFS([14]Баланс!S$16:S$95,[14]Баланс!$A$16:$A$95,$A129,[14]Баланс!$B$16:$B$95,"ПО")</f>
        <v>107.05</v>
      </c>
      <c r="U129" s="599">
        <f>SUMIFS([14]Баланс!T$16:T$95,[14]Баланс!$A$16:$A$95,$A129,[14]Баланс!$B$16:$B$95,"ПО")</f>
        <v>107.05</v>
      </c>
      <c r="V129" s="599">
        <f>SUMIFS([14]Баланс!U$16:U$95,[14]Баланс!$A$16:$A$95,$A129,[14]Баланс!$B$16:$B$95,"ПО")</f>
        <v>107.05</v>
      </c>
      <c r="W129" s="599">
        <f>SUMIFS([14]Баланс!V$16:V$95,[14]Баланс!$A$16:$A$95,$A129,[14]Баланс!$B$16:$B$95,"ПО")</f>
        <v>107.05</v>
      </c>
      <c r="X129" s="599">
        <f>SUMIFS([14]Баланс!W$16:W$95,[14]Баланс!$A$16:$A$95,$A129,[14]Баланс!$B$16:$B$95,"ПО")</f>
        <v>0</v>
      </c>
      <c r="Y129" s="599">
        <f>SUMIFS([14]Баланс!X$16:X$95,[14]Баланс!$A$16:$A$95,$A129,[14]Баланс!$B$16:$B$95,"ПО")</f>
        <v>0</v>
      </c>
      <c r="Z129" s="599">
        <f>SUMIFS([14]Баланс!Y$16:Y$95,[14]Баланс!$A$16:$A$95,$A129,[14]Баланс!$B$16:$B$95,"ПО")</f>
        <v>0</v>
      </c>
      <c r="AA129" s="599">
        <f>SUMIFS([14]Баланс!Z$16:Z$95,[14]Баланс!$A$16:$A$95,$A129,[14]Баланс!$B$16:$B$95,"ПО")</f>
        <v>0</v>
      </c>
      <c r="AB129" s="599">
        <f>SUMIFS([14]Баланс!AA$16:AA$95,[14]Баланс!$A$16:$A$95,$A129,[14]Баланс!$B$16:$B$95,"ПО")</f>
        <v>0</v>
      </c>
      <c r="AC129" s="599">
        <f>SUMIFS([14]Баланс!AB$16:AB$95,[14]Баланс!$A$16:$A$95,$A129,[14]Баланс!$B$16:$B$95,"ПО")</f>
        <v>0</v>
      </c>
      <c r="AD129" s="599">
        <f>SUMIFS([14]Баланс!AC$16:AC$95,[14]Баланс!$A$16:$A$95,$A129,[14]Баланс!$B$16:$B$95,"ПО")</f>
        <v>107.05</v>
      </c>
      <c r="AE129" s="599">
        <f>SUMIFS([14]Баланс!AD$16:AD$95,[14]Баланс!$A$16:$A$95,$A129,[14]Баланс!$B$16:$B$95,"ПО")</f>
        <v>107.05</v>
      </c>
      <c r="AF129" s="599">
        <f>SUMIFS([14]Баланс!AE$16:AE$95,[14]Баланс!$A$16:$A$95,$A129,[14]Баланс!$B$16:$B$95,"ПО")</f>
        <v>107.05</v>
      </c>
      <c r="AG129" s="599">
        <f>SUMIFS([14]Баланс!AF$16:AF$95,[14]Баланс!$A$16:$A$95,$A129,[14]Баланс!$B$16:$B$95,"ПО")</f>
        <v>107.05</v>
      </c>
      <c r="AH129" s="599">
        <f>SUMIFS([14]Баланс!AG$16:AG$95,[14]Баланс!$A$16:$A$95,$A129,[14]Баланс!$B$16:$B$95,"ПО")</f>
        <v>0</v>
      </c>
      <c r="AI129" s="599">
        <f>SUMIFS([14]Баланс!AH$16:AH$95,[14]Баланс!$A$16:$A$95,$A129,[14]Баланс!$B$16:$B$95,"ПО")</f>
        <v>0</v>
      </c>
      <c r="AJ129" s="599">
        <f>SUMIFS([14]Баланс!AI$16:AI$95,[14]Баланс!$A$16:$A$95,$A129,[14]Баланс!$B$16:$B$95,"ПО")</f>
        <v>0</v>
      </c>
      <c r="AK129" s="599">
        <f>SUMIFS([14]Баланс!AJ$16:AJ$95,[14]Баланс!$A$16:$A$95,$A129,[14]Баланс!$B$16:$B$95,"ПО")</f>
        <v>0</v>
      </c>
      <c r="AL129" s="599">
        <f>SUMIFS([14]Баланс!AK$16:AK$95,[14]Баланс!$A$16:$A$95,$A129,[14]Баланс!$B$16:$B$95,"ПО")</f>
        <v>0</v>
      </c>
      <c r="AM129" s="599">
        <f>SUMIFS([14]Баланс!AL$16:AL$95,[14]Баланс!$A$16:$A$95,$A129,[14]Баланс!$B$16:$B$95,"ПО")</f>
        <v>0</v>
      </c>
      <c r="AN129" s="558"/>
      <c r="AO129" s="558"/>
      <c r="AP129" s="558"/>
      <c r="AQ129" s="558"/>
      <c r="AR129" s="558"/>
      <c r="AS129" s="558"/>
      <c r="AT129" s="558"/>
      <c r="AU129" s="558"/>
      <c r="AV129" s="558"/>
      <c r="AW129" s="558"/>
      <c r="AX129" s="548"/>
      <c r="AY129" s="548"/>
      <c r="AZ129" s="548"/>
    </row>
    <row r="130" spans="1:53" ht="15" hidden="1" outlineLevel="1" x14ac:dyDescent="0.25">
      <c r="A130" s="540" t="str">
        <f t="shared" si="15"/>
        <v>1</v>
      </c>
      <c r="B130" s="520" t="s">
        <v>904</v>
      </c>
      <c r="D130" s="520" t="s">
        <v>905</v>
      </c>
      <c r="L130" s="551" t="s">
        <v>906</v>
      </c>
      <c r="M130" s="594" t="s">
        <v>907</v>
      </c>
      <c r="N130" s="553" t="s">
        <v>14</v>
      </c>
      <c r="O130" s="600">
        <f>O129/2</f>
        <v>61.774999999999999</v>
      </c>
      <c r="P130" s="600">
        <f>P129/2</f>
        <v>56.543000000000006</v>
      </c>
      <c r="Q130" s="600">
        <f>Q129/2</f>
        <v>56.543000000000006</v>
      </c>
      <c r="R130" s="555">
        <f t="shared" si="14"/>
        <v>0</v>
      </c>
      <c r="S130" s="600">
        <v>53.524999999999999</v>
      </c>
      <c r="T130" s="600">
        <v>53.524999999999999</v>
      </c>
      <c r="U130" s="600">
        <v>53.524999999999999</v>
      </c>
      <c r="V130" s="600">
        <v>53.524999999999999</v>
      </c>
      <c r="W130" s="600">
        <v>53.524999999999999</v>
      </c>
      <c r="X130" s="600">
        <f t="shared" ref="X130:AM130" si="25">X129/2</f>
        <v>0</v>
      </c>
      <c r="Y130" s="600">
        <f t="shared" si="25"/>
        <v>0</v>
      </c>
      <c r="Z130" s="600">
        <f t="shared" si="25"/>
        <v>0</v>
      </c>
      <c r="AA130" s="600">
        <f t="shared" si="25"/>
        <v>0</v>
      </c>
      <c r="AB130" s="600">
        <f t="shared" si="25"/>
        <v>0</v>
      </c>
      <c r="AC130" s="600">
        <f t="shared" si="25"/>
        <v>0</v>
      </c>
      <c r="AD130" s="600">
        <f>AD129/2</f>
        <v>53.524999999999999</v>
      </c>
      <c r="AE130" s="600">
        <v>53.524999999999999</v>
      </c>
      <c r="AF130" s="600">
        <v>53.524999999999999</v>
      </c>
      <c r="AG130" s="600">
        <v>53.524999999999999</v>
      </c>
      <c r="AH130" s="600">
        <f t="shared" si="25"/>
        <v>0</v>
      </c>
      <c r="AI130" s="600">
        <f t="shared" si="25"/>
        <v>0</v>
      </c>
      <c r="AJ130" s="600">
        <f t="shared" si="25"/>
        <v>0</v>
      </c>
      <c r="AK130" s="600">
        <f t="shared" si="25"/>
        <v>0</v>
      </c>
      <c r="AL130" s="600">
        <f t="shared" si="25"/>
        <v>0</v>
      </c>
      <c r="AM130" s="600">
        <f t="shared" si="25"/>
        <v>0</v>
      </c>
      <c r="AN130" s="556"/>
      <c r="AO130" s="556"/>
      <c r="AP130" s="556"/>
      <c r="AQ130" s="556"/>
      <c r="AR130" s="556"/>
      <c r="AS130" s="556"/>
      <c r="AT130" s="556"/>
      <c r="AU130" s="556"/>
      <c r="AV130" s="556"/>
      <c r="AW130" s="556"/>
      <c r="AX130" s="548"/>
      <c r="AY130" s="548"/>
      <c r="AZ130" s="548"/>
    </row>
    <row r="131" spans="1:53" ht="15" hidden="1" outlineLevel="1" x14ac:dyDescent="0.25">
      <c r="A131" s="540" t="str">
        <f t="shared" si="15"/>
        <v>1</v>
      </c>
      <c r="B131" s="520" t="s">
        <v>908</v>
      </c>
      <c r="D131" s="520" t="s">
        <v>909</v>
      </c>
      <c r="L131" s="551" t="s">
        <v>910</v>
      </c>
      <c r="M131" s="594" t="s">
        <v>911</v>
      </c>
      <c r="N131" s="553" t="s">
        <v>912</v>
      </c>
      <c r="O131" s="601">
        <v>73.319999999999993</v>
      </c>
      <c r="P131" s="601">
        <v>99.73</v>
      </c>
      <c r="Q131" s="601">
        <v>78.599999999999994</v>
      </c>
      <c r="R131" s="562">
        <f t="shared" si="14"/>
        <v>-21.13000000000001</v>
      </c>
      <c r="S131" s="601">
        <v>73.319999999999993</v>
      </c>
      <c r="T131" s="601">
        <f>S133</f>
        <v>94.27</v>
      </c>
      <c r="U131" s="601">
        <v>185.78</v>
      </c>
      <c r="V131" s="601">
        <v>201.46</v>
      </c>
      <c r="W131" s="601">
        <v>202.16</v>
      </c>
      <c r="X131" s="601"/>
      <c r="Y131" s="601"/>
      <c r="Z131" s="601"/>
      <c r="AA131" s="601"/>
      <c r="AB131" s="601"/>
      <c r="AC131" s="601"/>
      <c r="AD131" s="601">
        <v>94.27</v>
      </c>
      <c r="AE131" s="601">
        <v>110.3</v>
      </c>
      <c r="AF131" s="601">
        <v>110.3</v>
      </c>
      <c r="AG131" s="601">
        <v>114.8</v>
      </c>
      <c r="AH131" s="601"/>
      <c r="AI131" s="601"/>
      <c r="AJ131" s="601"/>
      <c r="AK131" s="601"/>
      <c r="AL131" s="601"/>
      <c r="AM131" s="601"/>
      <c r="AN131" s="556"/>
      <c r="AO131" s="556"/>
      <c r="AP131" s="556"/>
      <c r="AQ131" s="556"/>
      <c r="AR131" s="556"/>
      <c r="AS131" s="556"/>
      <c r="AT131" s="556"/>
      <c r="AU131" s="556"/>
      <c r="AV131" s="556"/>
      <c r="AW131" s="556"/>
      <c r="AX131" s="548"/>
      <c r="AY131" s="548"/>
      <c r="AZ131" s="548"/>
    </row>
    <row r="132" spans="1:53" ht="15" hidden="1" outlineLevel="1" x14ac:dyDescent="0.25">
      <c r="A132" s="540" t="str">
        <f t="shared" si="15"/>
        <v>1</v>
      </c>
      <c r="B132" s="520" t="s">
        <v>913</v>
      </c>
      <c r="D132" s="520" t="s">
        <v>914</v>
      </c>
      <c r="L132" s="551" t="s">
        <v>915</v>
      </c>
      <c r="M132" s="594" t="s">
        <v>916</v>
      </c>
      <c r="N132" s="553" t="s">
        <v>14</v>
      </c>
      <c r="O132" s="602">
        <f>O129-O130</f>
        <v>61.774999999999999</v>
      </c>
      <c r="P132" s="602">
        <f>P129-P130</f>
        <v>56.543000000000006</v>
      </c>
      <c r="Q132" s="602">
        <f>Q129-Q130</f>
        <v>56.543000000000006</v>
      </c>
      <c r="R132" s="555">
        <f t="shared" si="14"/>
        <v>0</v>
      </c>
      <c r="S132" s="602">
        <f t="shared" ref="S132:AM132" si="26">S129-S130</f>
        <v>53.524999999999999</v>
      </c>
      <c r="T132" s="602">
        <f t="shared" si="26"/>
        <v>53.524999999999999</v>
      </c>
      <c r="U132" s="602">
        <f t="shared" si="26"/>
        <v>53.524999999999999</v>
      </c>
      <c r="V132" s="602">
        <f t="shared" si="26"/>
        <v>53.524999999999999</v>
      </c>
      <c r="W132" s="602">
        <f t="shared" si="26"/>
        <v>53.524999999999999</v>
      </c>
      <c r="X132" s="602">
        <f t="shared" si="26"/>
        <v>0</v>
      </c>
      <c r="Y132" s="602">
        <f t="shared" si="26"/>
        <v>0</v>
      </c>
      <c r="Z132" s="602">
        <f t="shared" si="26"/>
        <v>0</v>
      </c>
      <c r="AA132" s="602">
        <f t="shared" si="26"/>
        <v>0</v>
      </c>
      <c r="AB132" s="602">
        <f t="shared" si="26"/>
        <v>0</v>
      </c>
      <c r="AC132" s="602">
        <f t="shared" si="26"/>
        <v>0</v>
      </c>
      <c r="AD132" s="602">
        <f t="shared" si="26"/>
        <v>53.524999999999999</v>
      </c>
      <c r="AE132" s="602">
        <f t="shared" si="26"/>
        <v>53.524999999999999</v>
      </c>
      <c r="AF132" s="602">
        <f t="shared" si="26"/>
        <v>53.524999999999999</v>
      </c>
      <c r="AG132" s="602">
        <f t="shared" si="26"/>
        <v>53.524999999999999</v>
      </c>
      <c r="AH132" s="602">
        <f t="shared" si="26"/>
        <v>0</v>
      </c>
      <c r="AI132" s="602">
        <f t="shared" si="26"/>
        <v>0</v>
      </c>
      <c r="AJ132" s="602">
        <f t="shared" si="26"/>
        <v>0</v>
      </c>
      <c r="AK132" s="602">
        <f t="shared" si="26"/>
        <v>0</v>
      </c>
      <c r="AL132" s="602">
        <f t="shared" si="26"/>
        <v>0</v>
      </c>
      <c r="AM132" s="602">
        <f t="shared" si="26"/>
        <v>0</v>
      </c>
      <c r="AN132" s="556"/>
      <c r="AO132" s="556"/>
      <c r="AP132" s="556"/>
      <c r="AQ132" s="556"/>
      <c r="AR132" s="556"/>
      <c r="AS132" s="556"/>
      <c r="AT132" s="556"/>
      <c r="AU132" s="556"/>
      <c r="AV132" s="556"/>
      <c r="AW132" s="556"/>
      <c r="AX132" s="548"/>
      <c r="AY132" s="548"/>
      <c r="AZ132" s="548"/>
    </row>
    <row r="133" spans="1:53" ht="15" hidden="1" outlineLevel="1" x14ac:dyDescent="0.25">
      <c r="A133" s="540" t="str">
        <f t="shared" si="15"/>
        <v>1</v>
      </c>
      <c r="B133" s="520" t="s">
        <v>917</v>
      </c>
      <c r="D133" s="520" t="s">
        <v>918</v>
      </c>
      <c r="L133" s="551" t="s">
        <v>919</v>
      </c>
      <c r="M133" s="594" t="s">
        <v>920</v>
      </c>
      <c r="N133" s="553" t="s">
        <v>912</v>
      </c>
      <c r="O133" s="601">
        <v>73.319999999999993</v>
      </c>
      <c r="P133" s="601" t="e">
        <f>IF(P132=0,0,(P126-P130*P131)/P132)</f>
        <v>#REF!</v>
      </c>
      <c r="Q133" s="601" t="e">
        <f>IF(Q132=0,0,(Q126-Q130*Q131)/Q132)</f>
        <v>#REF!</v>
      </c>
      <c r="R133" s="562" t="e">
        <f t="shared" si="14"/>
        <v>#REF!</v>
      </c>
      <c r="S133" s="601">
        <v>94.27</v>
      </c>
      <c r="T133" s="601" t="e">
        <f>(T126-T130*T131)/T132</f>
        <v>#VALUE!</v>
      </c>
      <c r="U133" s="601">
        <v>201.46</v>
      </c>
      <c r="V133" s="601">
        <v>202.16</v>
      </c>
      <c r="W133" s="601">
        <v>218.57</v>
      </c>
      <c r="X133" s="601">
        <f t="shared" ref="X133:AM133" si="27">IF(X132=0,0,(X126-X130*X131)/X132)</f>
        <v>0</v>
      </c>
      <c r="Y133" s="601">
        <f t="shared" si="27"/>
        <v>0</v>
      </c>
      <c r="Z133" s="601">
        <f t="shared" si="27"/>
        <v>0</v>
      </c>
      <c r="AA133" s="601">
        <f t="shared" si="27"/>
        <v>0</v>
      </c>
      <c r="AB133" s="601">
        <f t="shared" si="27"/>
        <v>0</v>
      </c>
      <c r="AC133" s="601">
        <f t="shared" si="27"/>
        <v>0</v>
      </c>
      <c r="AD133" s="601" t="e">
        <f>(AD126-AD130*AD131)/AD132</f>
        <v>#VALUE!</v>
      </c>
      <c r="AE133" s="601">
        <v>110.3</v>
      </c>
      <c r="AF133" s="601">
        <v>114.8</v>
      </c>
      <c r="AG133" s="601">
        <v>116.35</v>
      </c>
      <c r="AH133" s="601">
        <f t="shared" si="27"/>
        <v>0</v>
      </c>
      <c r="AI133" s="601">
        <f t="shared" si="27"/>
        <v>0</v>
      </c>
      <c r="AJ133" s="601">
        <f t="shared" si="27"/>
        <v>0</v>
      </c>
      <c r="AK133" s="601">
        <f t="shared" si="27"/>
        <v>0</v>
      </c>
      <c r="AL133" s="601">
        <f t="shared" si="27"/>
        <v>0</v>
      </c>
      <c r="AM133" s="601">
        <f t="shared" si="27"/>
        <v>0</v>
      </c>
      <c r="AN133" s="556"/>
      <c r="AO133" s="556"/>
      <c r="AP133" s="556"/>
      <c r="AQ133" s="556"/>
      <c r="AR133" s="556"/>
      <c r="AS133" s="556"/>
      <c r="AT133" s="556"/>
      <c r="AU133" s="556"/>
      <c r="AV133" s="556"/>
      <c r="AW133" s="556"/>
      <c r="AX133" s="548"/>
      <c r="AY133" s="548"/>
      <c r="AZ133" s="548"/>
    </row>
    <row r="134" spans="1:53" ht="11.25" hidden="1" outlineLevel="1" x14ac:dyDescent="0.25">
      <c r="A134" s="540" t="str">
        <f t="shared" si="15"/>
        <v>1</v>
      </c>
      <c r="D134" s="520" t="s">
        <v>921</v>
      </c>
      <c r="L134" s="551" t="s">
        <v>922</v>
      </c>
      <c r="M134" s="552" t="s">
        <v>923</v>
      </c>
      <c r="N134" s="553" t="s">
        <v>46</v>
      </c>
      <c r="O134" s="603">
        <f>IF(O131=0,0,O133/O131*100)</f>
        <v>100</v>
      </c>
      <c r="P134" s="603" t="e">
        <f>IF(P131=0,0,P133/P131*100)</f>
        <v>#REF!</v>
      </c>
      <c r="Q134" s="603" t="e">
        <f>IF(Q131=0,0,Q133/Q131*100)</f>
        <v>#REF!</v>
      </c>
      <c r="R134" s="556"/>
      <c r="S134" s="603">
        <f t="shared" ref="S134:AM134" si="28">IF(S131=0,0,S133/S131*100)</f>
        <v>128.57337697763231</v>
      </c>
      <c r="T134" s="603" t="e">
        <f t="shared" si="28"/>
        <v>#VALUE!</v>
      </c>
      <c r="U134" s="603">
        <f t="shared" si="28"/>
        <v>108.44009042954032</v>
      </c>
      <c r="V134" s="603">
        <f t="shared" si="28"/>
        <v>100.34746351633078</v>
      </c>
      <c r="W134" s="603">
        <f t="shared" si="28"/>
        <v>108.11733280569847</v>
      </c>
      <c r="X134" s="603">
        <f t="shared" si="28"/>
        <v>0</v>
      </c>
      <c r="Y134" s="603">
        <f t="shared" si="28"/>
        <v>0</v>
      </c>
      <c r="Z134" s="603">
        <f t="shared" si="28"/>
        <v>0</v>
      </c>
      <c r="AA134" s="603">
        <f t="shared" si="28"/>
        <v>0</v>
      </c>
      <c r="AB134" s="603">
        <f t="shared" si="28"/>
        <v>0</v>
      </c>
      <c r="AC134" s="603">
        <f t="shared" si="28"/>
        <v>0</v>
      </c>
      <c r="AD134" s="603" t="e">
        <f t="shared" si="28"/>
        <v>#VALUE!</v>
      </c>
      <c r="AE134" s="603">
        <f t="shared" si="28"/>
        <v>100</v>
      </c>
      <c r="AF134" s="603">
        <f t="shared" si="28"/>
        <v>104.07978241160471</v>
      </c>
      <c r="AG134" s="603">
        <f t="shared" si="28"/>
        <v>101.35017421602788</v>
      </c>
      <c r="AH134" s="603">
        <f t="shared" si="28"/>
        <v>0</v>
      </c>
      <c r="AI134" s="603">
        <f t="shared" si="28"/>
        <v>0</v>
      </c>
      <c r="AJ134" s="603">
        <f t="shared" si="28"/>
        <v>0</v>
      </c>
      <c r="AK134" s="603">
        <f t="shared" si="28"/>
        <v>0</v>
      </c>
      <c r="AL134" s="603">
        <f t="shared" si="28"/>
        <v>0</v>
      </c>
      <c r="AM134" s="603">
        <f t="shared" si="28"/>
        <v>0</v>
      </c>
      <c r="AN134" s="556"/>
      <c r="AO134" s="556"/>
      <c r="AP134" s="556"/>
      <c r="AQ134" s="556"/>
      <c r="AR134" s="556"/>
      <c r="AS134" s="556"/>
      <c r="AT134" s="556"/>
      <c r="AU134" s="556"/>
      <c r="AV134" s="556"/>
      <c r="AW134" s="556"/>
      <c r="AX134" s="548"/>
      <c r="AY134" s="548"/>
      <c r="AZ134" s="548"/>
    </row>
    <row r="135" spans="1:53" ht="11.25" hidden="1" outlineLevel="1" x14ac:dyDescent="0.25">
      <c r="A135" s="540" t="str">
        <f t="shared" si="15"/>
        <v>1</v>
      </c>
      <c r="D135" s="520" t="s">
        <v>924</v>
      </c>
      <c r="L135" s="551" t="s">
        <v>925</v>
      </c>
      <c r="M135" s="552" t="s">
        <v>926</v>
      </c>
      <c r="N135" s="553" t="s">
        <v>912</v>
      </c>
      <c r="O135" s="601">
        <v>73.319999999999993</v>
      </c>
      <c r="P135" s="601" t="e">
        <f>IF(P129=0,0,P126/P129)</f>
        <v>#REF!</v>
      </c>
      <c r="Q135" s="601" t="e">
        <f>IF(Q129=0,0,Q126/Q129)</f>
        <v>#REF!</v>
      </c>
      <c r="R135" s="562" t="e">
        <f t="shared" si="14"/>
        <v>#REF!</v>
      </c>
      <c r="S135" s="601" t="e">
        <f>S126/S129</f>
        <v>#VALUE!</v>
      </c>
      <c r="T135" s="601" t="e">
        <f>T126/T129</f>
        <v>#VALUE!</v>
      </c>
      <c r="U135" s="601">
        <v>194.47227254929999</v>
      </c>
      <c r="V135" s="601">
        <v>202.66944328810001</v>
      </c>
      <c r="W135" s="601">
        <v>211.23069277639999</v>
      </c>
      <c r="X135" s="601">
        <f t="shared" ref="X135:AM135" si="29">IF(X129=0,0,X126/X129)</f>
        <v>0</v>
      </c>
      <c r="Y135" s="601">
        <f t="shared" si="29"/>
        <v>0</v>
      </c>
      <c r="Z135" s="601">
        <f t="shared" si="29"/>
        <v>0</v>
      </c>
      <c r="AA135" s="601">
        <f t="shared" si="29"/>
        <v>0</v>
      </c>
      <c r="AB135" s="601">
        <f t="shared" si="29"/>
        <v>0</v>
      </c>
      <c r="AC135" s="601">
        <f t="shared" si="29"/>
        <v>0</v>
      </c>
      <c r="AD135" s="601" t="e">
        <f>AD126/AD129+0.01</f>
        <v>#VALUE!</v>
      </c>
      <c r="AE135" s="601">
        <v>110.30055312090001</v>
      </c>
      <c r="AF135" s="601">
        <v>112.54534297799999</v>
      </c>
      <c r="AG135" s="601">
        <v>115.5711717595</v>
      </c>
      <c r="AH135" s="601">
        <f t="shared" si="29"/>
        <v>0</v>
      </c>
      <c r="AI135" s="601">
        <f t="shared" si="29"/>
        <v>0</v>
      </c>
      <c r="AJ135" s="601">
        <f t="shared" si="29"/>
        <v>0</v>
      </c>
      <c r="AK135" s="601">
        <f t="shared" si="29"/>
        <v>0</v>
      </c>
      <c r="AL135" s="601">
        <f t="shared" si="29"/>
        <v>0</v>
      </c>
      <c r="AM135" s="601">
        <f t="shared" si="29"/>
        <v>0</v>
      </c>
      <c r="AN135" s="556"/>
      <c r="AO135" s="556"/>
      <c r="AP135" s="556"/>
      <c r="AQ135" s="556"/>
      <c r="AR135" s="556"/>
      <c r="AS135" s="556"/>
      <c r="AT135" s="556"/>
      <c r="AU135" s="556"/>
      <c r="AV135" s="556"/>
      <c r="AW135" s="556"/>
      <c r="AX135" s="548"/>
      <c r="AY135" s="548"/>
      <c r="AZ135" s="548"/>
    </row>
    <row r="136" spans="1:53" s="572" customFormat="1" ht="11.25" hidden="1" outlineLevel="1" x14ac:dyDescent="0.25">
      <c r="A136" s="540" t="str">
        <f t="shared" si="15"/>
        <v>1</v>
      </c>
      <c r="C136" s="520"/>
      <c r="D136" s="520" t="s">
        <v>927</v>
      </c>
      <c r="L136" s="573" t="s">
        <v>928</v>
      </c>
      <c r="M136" s="590" t="s">
        <v>929</v>
      </c>
      <c r="N136" s="575" t="s">
        <v>123</v>
      </c>
      <c r="O136" s="597" t="e">
        <f>IF(O129=0,0,O126/O129*O137)</f>
        <v>#VALUE!</v>
      </c>
      <c r="P136" s="597" t="e">
        <f>IF(P129=0,0,P126/P129*P137)</f>
        <v>#REF!</v>
      </c>
      <c r="Q136" s="597" t="e">
        <f>IF(Q129=0,0,Q126/Q129*Q137)</f>
        <v>#REF!</v>
      </c>
      <c r="R136" s="576">
        <f>R138*R139+R140*R141</f>
        <v>0</v>
      </c>
      <c r="S136" s="597" t="e">
        <f>IF(S129=0,0,S126/S129*S137)</f>
        <v>#VALUE!</v>
      </c>
      <c r="T136" s="597" t="e">
        <f>IF(T129=0,0,T126/T129*T137)</f>
        <v>#VALUE!</v>
      </c>
      <c r="U136" s="597" t="e">
        <f t="shared" ref="U136:AM136" si="30">IF(U129=0,0,U126/U129*U137)</f>
        <v>#VALUE!</v>
      </c>
      <c r="V136" s="597" t="e">
        <f t="shared" si="30"/>
        <v>#VALUE!</v>
      </c>
      <c r="W136" s="597" t="e">
        <f t="shared" si="30"/>
        <v>#VALUE!</v>
      </c>
      <c r="X136" s="597">
        <f t="shared" si="30"/>
        <v>0</v>
      </c>
      <c r="Y136" s="597">
        <f t="shared" si="30"/>
        <v>0</v>
      </c>
      <c r="Z136" s="597">
        <f t="shared" si="30"/>
        <v>0</v>
      </c>
      <c r="AA136" s="597">
        <f t="shared" si="30"/>
        <v>0</v>
      </c>
      <c r="AB136" s="597">
        <f t="shared" si="30"/>
        <v>0</v>
      </c>
      <c r="AC136" s="597">
        <f t="shared" si="30"/>
        <v>0</v>
      </c>
      <c r="AD136" s="597" t="e">
        <f>IF(AD129=0,0,AD126/AD129*AD137)</f>
        <v>#VALUE!</v>
      </c>
      <c r="AE136" s="597" t="e">
        <f>IF(AE129=0,0,AE126/AE129*AE137)</f>
        <v>#VALUE!</v>
      </c>
      <c r="AF136" s="597" t="e">
        <f>IF(AF129=0,0,AF126/AF129*AF137)</f>
        <v>#VALUE!</v>
      </c>
      <c r="AG136" s="597" t="e">
        <f t="shared" si="30"/>
        <v>#VALUE!</v>
      </c>
      <c r="AH136" s="597">
        <f t="shared" si="30"/>
        <v>0</v>
      </c>
      <c r="AI136" s="597">
        <f t="shared" si="30"/>
        <v>0</v>
      </c>
      <c r="AJ136" s="597">
        <f t="shared" si="30"/>
        <v>0</v>
      </c>
      <c r="AK136" s="597">
        <f t="shared" si="30"/>
        <v>0</v>
      </c>
      <c r="AL136" s="597">
        <f t="shared" si="30"/>
        <v>0</v>
      </c>
      <c r="AM136" s="597">
        <f t="shared" si="30"/>
        <v>0</v>
      </c>
      <c r="AN136" s="546" t="e">
        <f>IF(S136=0,0,(AD136-S136)/S136*100)</f>
        <v>#VALUE!</v>
      </c>
      <c r="AO136" s="546" t="e">
        <f>IF(AD136=0,0,(AE136-AD136)/AD136*100)</f>
        <v>#VALUE!</v>
      </c>
      <c r="AP136" s="546" t="e">
        <f>IF(AE136=0,0,(AF136-AE136)/AE136*100)</f>
        <v>#VALUE!</v>
      </c>
      <c r="AQ136" s="546" t="e">
        <f>IF(AF136=0,0,(AG136-AF136)/AF136*100)</f>
        <v>#VALUE!</v>
      </c>
      <c r="AR136" s="546" t="e">
        <f t="shared" ref="AR136:AW136" si="31">IF(AG136=0,0,(AH136-AG136)/AG136*100)</f>
        <v>#VALUE!</v>
      </c>
      <c r="AS136" s="546">
        <f t="shared" si="31"/>
        <v>0</v>
      </c>
      <c r="AT136" s="546">
        <f t="shared" si="31"/>
        <v>0</v>
      </c>
      <c r="AU136" s="546">
        <f t="shared" si="31"/>
        <v>0</v>
      </c>
      <c r="AV136" s="546">
        <f t="shared" si="31"/>
        <v>0</v>
      </c>
      <c r="AW136" s="546">
        <f t="shared" si="31"/>
        <v>0</v>
      </c>
      <c r="AX136" s="548"/>
      <c r="AY136" s="548"/>
      <c r="AZ136" s="548"/>
    </row>
    <row r="137" spans="1:53" s="572" customFormat="1" ht="11.25" hidden="1" outlineLevel="1" x14ac:dyDescent="0.25">
      <c r="A137" s="540" t="str">
        <f t="shared" si="15"/>
        <v>1</v>
      </c>
      <c r="B137" s="520" t="s">
        <v>930</v>
      </c>
      <c r="C137" s="520"/>
      <c r="D137" s="520" t="s">
        <v>931</v>
      </c>
      <c r="L137" s="573" t="s">
        <v>932</v>
      </c>
      <c r="M137" s="590" t="s">
        <v>933</v>
      </c>
      <c r="N137" s="575" t="s">
        <v>14</v>
      </c>
      <c r="O137" s="599">
        <f>SUMIFS([14]Баланс!O$16:O$95,[14]Баланс!$A$16:$A$95,$A137,[14]Баланс!$B$16:$B$95,"население")</f>
        <v>91.23</v>
      </c>
      <c r="P137" s="599">
        <f>SUMIFS([14]Баланс!P$16:P$95,[14]Баланс!$A$16:$A$95,$A137,[14]Баланс!$B$16:$B$95,"население")</f>
        <v>101.39500000000001</v>
      </c>
      <c r="Q137" s="599">
        <f>SUMIFS([14]Баланс!Q$16:Q$95,[14]Баланс!$A$16:$A$95,$A137,[14]Баланс!$B$16:$B$95,"население")</f>
        <v>101.39500000000001</v>
      </c>
      <c r="R137" s="599">
        <f>Q137-P137</f>
        <v>0</v>
      </c>
      <c r="S137" s="599">
        <f>SUMIFS([14]Баланс!R$16:R$95,[14]Баланс!$A$16:$A$95,$A137,[14]Баланс!$B$16:$B$95,"население")</f>
        <v>83.71</v>
      </c>
      <c r="T137" s="599">
        <f>SUMIFS([14]Баланс!S$16:S$95,[14]Баланс!$A$16:$A$95,$A137,[14]Баланс!$B$16:$B$95,"население")</f>
        <v>83.71</v>
      </c>
      <c r="U137" s="599">
        <f>SUMIFS([14]Баланс!T$16:T$95,[14]Баланс!$A$16:$A$95,$A137,[14]Баланс!$B$16:$B$95,"население")</f>
        <v>83.71</v>
      </c>
      <c r="V137" s="599">
        <f>SUMIFS([14]Баланс!U$16:U$95,[14]Баланс!$A$16:$A$95,$A137,[14]Баланс!$B$16:$B$95,"население")</f>
        <v>83.71</v>
      </c>
      <c r="W137" s="599">
        <f>SUMIFS([14]Баланс!V$16:V$95,[14]Баланс!$A$16:$A$95,$A137,[14]Баланс!$B$16:$B$95,"население")</f>
        <v>83.71</v>
      </c>
      <c r="X137" s="599">
        <f>SUMIFS([14]Баланс!W$16:W$95,[14]Баланс!$A$16:$A$95,$A137,[14]Баланс!$B$16:$B$95,"население")</f>
        <v>0</v>
      </c>
      <c r="Y137" s="599">
        <f>SUMIFS([14]Баланс!X$16:X$95,[14]Баланс!$A$16:$A$95,$A137,[14]Баланс!$B$16:$B$95,"население")</f>
        <v>0</v>
      </c>
      <c r="Z137" s="599">
        <f>SUMIFS([14]Баланс!Y$16:Y$95,[14]Баланс!$A$16:$A$95,$A137,[14]Баланс!$B$16:$B$95,"население")</f>
        <v>0</v>
      </c>
      <c r="AA137" s="599">
        <f>SUMIFS([14]Баланс!Z$16:Z$95,[14]Баланс!$A$16:$A$95,$A137,[14]Баланс!$B$16:$B$95,"население")</f>
        <v>0</v>
      </c>
      <c r="AB137" s="599">
        <f>SUMIFS([14]Баланс!AA$16:AA$95,[14]Баланс!$A$16:$A$95,$A137,[14]Баланс!$B$16:$B$95,"население")</f>
        <v>0</v>
      </c>
      <c r="AC137" s="599">
        <f>SUMIFS([14]Баланс!AB$16:AB$95,[14]Баланс!$A$16:$A$95,$A137,[14]Баланс!$B$16:$B$95,"население")</f>
        <v>0</v>
      </c>
      <c r="AD137" s="599">
        <f>SUMIFS([14]Баланс!AC$16:AC$95,[14]Баланс!$A$16:$A$95,$A137,[14]Баланс!$B$16:$B$95,"население")</f>
        <v>83.71</v>
      </c>
      <c r="AE137" s="599">
        <f>SUMIFS([14]Баланс!AD$16:AD$95,[14]Баланс!$A$16:$A$95,$A137,[14]Баланс!$B$16:$B$95,"население")</f>
        <v>83.71</v>
      </c>
      <c r="AF137" s="599">
        <f>SUMIFS([14]Баланс!AE$16:AE$95,[14]Баланс!$A$16:$A$95,$A137,[14]Баланс!$B$16:$B$95,"население")</f>
        <v>83.71</v>
      </c>
      <c r="AG137" s="599">
        <f>SUMIFS([14]Баланс!AF$16:AF$95,[14]Баланс!$A$16:$A$95,$A137,[14]Баланс!$B$16:$B$95,"население")</f>
        <v>83.71</v>
      </c>
      <c r="AH137" s="599">
        <f>SUMIFS([14]Баланс!AG$16:AG$95,[14]Баланс!$A$16:$A$95,$A137,[14]Баланс!$B$16:$B$95,"население")</f>
        <v>0</v>
      </c>
      <c r="AI137" s="599">
        <f>SUMIFS([14]Баланс!AH$16:AH$95,[14]Баланс!$A$16:$A$95,$A137,[14]Баланс!$B$16:$B$95,"население")</f>
        <v>0</v>
      </c>
      <c r="AJ137" s="599">
        <f>SUMIFS([14]Баланс!AI$16:AI$95,[14]Баланс!$A$16:$A$95,$A137,[14]Баланс!$B$16:$B$95,"население")</f>
        <v>0</v>
      </c>
      <c r="AK137" s="599">
        <f>SUMIFS([14]Баланс!AJ$16:AJ$95,[14]Баланс!$A$16:$A$95,$A137,[14]Баланс!$B$16:$B$95,"население")</f>
        <v>0</v>
      </c>
      <c r="AL137" s="599">
        <f>SUMIFS([14]Баланс!AK$16:AK$95,[14]Баланс!$A$16:$A$95,$A137,[14]Баланс!$B$16:$B$95,"население")</f>
        <v>0</v>
      </c>
      <c r="AM137" s="599">
        <f>SUMIFS([14]Баланс!AL$16:AL$95,[14]Баланс!$A$16:$A$95,$A137,[14]Баланс!$B$16:$B$95,"население")</f>
        <v>0</v>
      </c>
      <c r="AN137" s="558"/>
      <c r="AO137" s="558"/>
      <c r="AP137" s="558"/>
      <c r="AQ137" s="558"/>
      <c r="AR137" s="558"/>
      <c r="AS137" s="558"/>
      <c r="AT137" s="558"/>
      <c r="AU137" s="558"/>
      <c r="AV137" s="558"/>
      <c r="AW137" s="558"/>
      <c r="AX137" s="548"/>
      <c r="AY137" s="548"/>
      <c r="AZ137" s="548"/>
    </row>
    <row r="138" spans="1:53" ht="15" hidden="1" outlineLevel="1" x14ac:dyDescent="0.25">
      <c r="A138" s="540" t="str">
        <f t="shared" si="15"/>
        <v>1</v>
      </c>
      <c r="B138" s="520" t="s">
        <v>934</v>
      </c>
      <c r="D138" s="520" t="s">
        <v>935</v>
      </c>
      <c r="L138" s="604" t="s">
        <v>936</v>
      </c>
      <c r="M138" s="594" t="s">
        <v>937</v>
      </c>
      <c r="N138" s="605" t="s">
        <v>14</v>
      </c>
      <c r="O138" s="600">
        <v>45.615000000000002</v>
      </c>
      <c r="P138" s="600">
        <f>P137/2</f>
        <v>50.697500000000005</v>
      </c>
      <c r="Q138" s="600">
        <f>Q137/2</f>
        <v>50.697500000000005</v>
      </c>
      <c r="R138" s="555">
        <f>Q138-P138</f>
        <v>0</v>
      </c>
      <c r="S138" s="600">
        <v>41.854999999999997</v>
      </c>
      <c r="T138" s="600">
        <v>41.854999999999997</v>
      </c>
      <c r="U138" s="600">
        <v>41.854999999999997</v>
      </c>
      <c r="V138" s="600">
        <v>41.854999999999997</v>
      </c>
      <c r="W138" s="600">
        <v>41.854999999999997</v>
      </c>
      <c r="X138" s="600">
        <f t="shared" ref="X138:AM138" si="32">X137/2</f>
        <v>0</v>
      </c>
      <c r="Y138" s="600">
        <f t="shared" si="32"/>
        <v>0</v>
      </c>
      <c r="Z138" s="600">
        <f t="shared" si="32"/>
        <v>0</v>
      </c>
      <c r="AA138" s="600">
        <f t="shared" si="32"/>
        <v>0</v>
      </c>
      <c r="AB138" s="600">
        <f t="shared" si="32"/>
        <v>0</v>
      </c>
      <c r="AC138" s="600">
        <f t="shared" si="32"/>
        <v>0</v>
      </c>
      <c r="AD138" s="600">
        <f>AD137/2</f>
        <v>41.854999999999997</v>
      </c>
      <c r="AE138" s="600">
        <v>41.854999999999997</v>
      </c>
      <c r="AF138" s="600">
        <v>41.854999999999997</v>
      </c>
      <c r="AG138" s="600">
        <v>41.854999999999997</v>
      </c>
      <c r="AH138" s="600">
        <f t="shared" si="32"/>
        <v>0</v>
      </c>
      <c r="AI138" s="600">
        <f t="shared" si="32"/>
        <v>0</v>
      </c>
      <c r="AJ138" s="600">
        <f t="shared" si="32"/>
        <v>0</v>
      </c>
      <c r="AK138" s="600">
        <f t="shared" si="32"/>
        <v>0</v>
      </c>
      <c r="AL138" s="600">
        <f t="shared" si="32"/>
        <v>0</v>
      </c>
      <c r="AM138" s="600">
        <f t="shared" si="32"/>
        <v>0</v>
      </c>
      <c r="AN138" s="556"/>
      <c r="AO138" s="556"/>
      <c r="AP138" s="556"/>
      <c r="AQ138" s="556"/>
      <c r="AR138" s="556"/>
      <c r="AS138" s="556"/>
      <c r="AT138" s="556"/>
      <c r="AU138" s="556"/>
      <c r="AV138" s="556"/>
      <c r="AW138" s="556"/>
      <c r="AX138" s="548"/>
      <c r="AY138" s="548"/>
      <c r="AZ138" s="548"/>
    </row>
    <row r="139" spans="1:53" ht="15" hidden="1" outlineLevel="1" x14ac:dyDescent="0.25">
      <c r="A139" s="540" t="str">
        <f t="shared" si="15"/>
        <v>1</v>
      </c>
      <c r="B139" s="520" t="s">
        <v>938</v>
      </c>
      <c r="D139" s="520" t="s">
        <v>939</v>
      </c>
      <c r="L139" s="604" t="s">
        <v>940</v>
      </c>
      <c r="M139" s="594" t="s">
        <v>941</v>
      </c>
      <c r="N139" s="605" t="s">
        <v>912</v>
      </c>
      <c r="O139" s="601">
        <f>O133</f>
        <v>73.319999999999993</v>
      </c>
      <c r="P139" s="601">
        <f>P131</f>
        <v>99.73</v>
      </c>
      <c r="Q139" s="601">
        <f>Q131</f>
        <v>78.599999999999994</v>
      </c>
      <c r="R139" s="562">
        <f>Q139-P139</f>
        <v>-21.13000000000001</v>
      </c>
      <c r="S139" s="601">
        <v>73.319999999999993</v>
      </c>
      <c r="T139" s="601">
        <f>S141</f>
        <v>94.27</v>
      </c>
      <c r="U139" s="601">
        <v>185.78</v>
      </c>
      <c r="V139" s="601">
        <v>201.46</v>
      </c>
      <c r="W139" s="601">
        <v>202.16</v>
      </c>
      <c r="X139" s="601">
        <f t="shared" ref="X139:AM139" si="33">IF(X137=0,0,X131*IF(plat_nds="да",1.2,1) )</f>
        <v>0</v>
      </c>
      <c r="Y139" s="601">
        <f t="shared" si="33"/>
        <v>0</v>
      </c>
      <c r="Z139" s="601">
        <f t="shared" si="33"/>
        <v>0</v>
      </c>
      <c r="AA139" s="601">
        <f t="shared" si="33"/>
        <v>0</v>
      </c>
      <c r="AB139" s="601">
        <f t="shared" si="33"/>
        <v>0</v>
      </c>
      <c r="AC139" s="601">
        <f t="shared" si="33"/>
        <v>0</v>
      </c>
      <c r="AD139" s="601">
        <v>98.98</v>
      </c>
      <c r="AE139" s="601">
        <v>110.3</v>
      </c>
      <c r="AF139" s="601">
        <v>110.3</v>
      </c>
      <c r="AG139" s="601">
        <v>114.8</v>
      </c>
      <c r="AH139" s="601">
        <f t="shared" si="33"/>
        <v>0</v>
      </c>
      <c r="AI139" s="601">
        <f t="shared" si="33"/>
        <v>0</v>
      </c>
      <c r="AJ139" s="601">
        <f t="shared" si="33"/>
        <v>0</v>
      </c>
      <c r="AK139" s="601">
        <f t="shared" si="33"/>
        <v>0</v>
      </c>
      <c r="AL139" s="601">
        <f t="shared" si="33"/>
        <v>0</v>
      </c>
      <c r="AM139" s="601">
        <f t="shared" si="33"/>
        <v>0</v>
      </c>
      <c r="AN139" s="556"/>
      <c r="AO139" s="556"/>
      <c r="AP139" s="556"/>
      <c r="AQ139" s="556"/>
      <c r="AR139" s="556"/>
      <c r="AS139" s="556"/>
      <c r="AT139" s="556"/>
      <c r="AU139" s="556"/>
      <c r="AV139" s="556"/>
      <c r="AW139" s="556"/>
      <c r="AX139" s="548"/>
      <c r="AY139" s="548"/>
      <c r="AZ139" s="548"/>
    </row>
    <row r="140" spans="1:53" ht="15" hidden="1" outlineLevel="1" x14ac:dyDescent="0.25">
      <c r="A140" s="540" t="str">
        <f t="shared" si="15"/>
        <v>1</v>
      </c>
      <c r="B140" s="520" t="s">
        <v>942</v>
      </c>
      <c r="D140" s="520" t="s">
        <v>943</v>
      </c>
      <c r="L140" s="604" t="s">
        <v>944</v>
      </c>
      <c r="M140" s="594" t="s">
        <v>945</v>
      </c>
      <c r="N140" s="605" t="s">
        <v>14</v>
      </c>
      <c r="O140" s="602">
        <f>O137-O138</f>
        <v>45.615000000000002</v>
      </c>
      <c r="P140" s="602">
        <f>P137-P138</f>
        <v>50.697500000000005</v>
      </c>
      <c r="Q140" s="602">
        <f>Q137-Q138</f>
        <v>50.697500000000005</v>
      </c>
      <c r="R140" s="555">
        <f>Q140-P140</f>
        <v>0</v>
      </c>
      <c r="S140" s="602">
        <f t="shared" ref="S140:AM140" si="34">S137-S138</f>
        <v>41.854999999999997</v>
      </c>
      <c r="T140" s="602">
        <f t="shared" si="34"/>
        <v>41.854999999999997</v>
      </c>
      <c r="U140" s="602">
        <f t="shared" si="34"/>
        <v>41.854999999999997</v>
      </c>
      <c r="V140" s="602">
        <f t="shared" si="34"/>
        <v>41.854999999999997</v>
      </c>
      <c r="W140" s="602">
        <f t="shared" si="34"/>
        <v>41.854999999999997</v>
      </c>
      <c r="X140" s="602">
        <f t="shared" si="34"/>
        <v>0</v>
      </c>
      <c r="Y140" s="602">
        <f t="shared" si="34"/>
        <v>0</v>
      </c>
      <c r="Z140" s="602">
        <f t="shared" si="34"/>
        <v>0</v>
      </c>
      <c r="AA140" s="602">
        <f t="shared" si="34"/>
        <v>0</v>
      </c>
      <c r="AB140" s="602">
        <f t="shared" si="34"/>
        <v>0</v>
      </c>
      <c r="AC140" s="602">
        <f t="shared" si="34"/>
        <v>0</v>
      </c>
      <c r="AD140" s="602">
        <f t="shared" si="34"/>
        <v>41.854999999999997</v>
      </c>
      <c r="AE140" s="602">
        <f t="shared" si="34"/>
        <v>41.854999999999997</v>
      </c>
      <c r="AF140" s="602">
        <f t="shared" si="34"/>
        <v>41.854999999999997</v>
      </c>
      <c r="AG140" s="602">
        <f t="shared" si="34"/>
        <v>41.854999999999997</v>
      </c>
      <c r="AH140" s="602">
        <f t="shared" si="34"/>
        <v>0</v>
      </c>
      <c r="AI140" s="602">
        <f t="shared" si="34"/>
        <v>0</v>
      </c>
      <c r="AJ140" s="602">
        <f t="shared" si="34"/>
        <v>0</v>
      </c>
      <c r="AK140" s="602">
        <f t="shared" si="34"/>
        <v>0</v>
      </c>
      <c r="AL140" s="602">
        <f t="shared" si="34"/>
        <v>0</v>
      </c>
      <c r="AM140" s="602">
        <f t="shared" si="34"/>
        <v>0</v>
      </c>
      <c r="AN140" s="556"/>
      <c r="AO140" s="556"/>
      <c r="AP140" s="556"/>
      <c r="AQ140" s="556"/>
      <c r="AR140" s="556"/>
      <c r="AS140" s="556"/>
      <c r="AT140" s="556"/>
      <c r="AU140" s="556"/>
      <c r="AV140" s="556"/>
      <c r="AW140" s="556"/>
      <c r="AX140" s="548"/>
      <c r="AY140" s="548"/>
      <c r="AZ140" s="548"/>
    </row>
    <row r="141" spans="1:53" ht="15" hidden="1" outlineLevel="1" x14ac:dyDescent="0.25">
      <c r="A141" s="540" t="str">
        <f t="shared" si="15"/>
        <v>1</v>
      </c>
      <c r="B141" s="520" t="s">
        <v>946</v>
      </c>
      <c r="D141" s="520" t="s">
        <v>947</v>
      </c>
      <c r="L141" s="604" t="s">
        <v>948</v>
      </c>
      <c r="M141" s="594" t="s">
        <v>949</v>
      </c>
      <c r="N141" s="605" t="s">
        <v>912</v>
      </c>
      <c r="O141" s="601">
        <f>O139</f>
        <v>73.319999999999993</v>
      </c>
      <c r="P141" s="601">
        <f>P139</f>
        <v>99.73</v>
      </c>
      <c r="Q141" s="601">
        <f>Q139</f>
        <v>78.599999999999994</v>
      </c>
      <c r="R141" s="562">
        <f>Q141-P141</f>
        <v>-21.13000000000001</v>
      </c>
      <c r="S141" s="601">
        <v>94.27</v>
      </c>
      <c r="T141" s="601">
        <v>132.97999999999999</v>
      </c>
      <c r="U141" s="601">
        <v>201.46</v>
      </c>
      <c r="V141" s="601">
        <v>202.16</v>
      </c>
      <c r="W141" s="601">
        <v>218.57</v>
      </c>
      <c r="X141" s="601">
        <f t="shared" ref="X141:AM141" si="35">IF(X137=0,0,X133*IF(plat_nds="да",1.2,1) )</f>
        <v>0</v>
      </c>
      <c r="Y141" s="601">
        <f t="shared" si="35"/>
        <v>0</v>
      </c>
      <c r="Z141" s="601">
        <f t="shared" si="35"/>
        <v>0</v>
      </c>
      <c r="AA141" s="601">
        <f t="shared" si="35"/>
        <v>0</v>
      </c>
      <c r="AB141" s="601">
        <f t="shared" si="35"/>
        <v>0</v>
      </c>
      <c r="AC141" s="601">
        <f t="shared" si="35"/>
        <v>0</v>
      </c>
      <c r="AD141" s="601">
        <v>123.54</v>
      </c>
      <c r="AE141" s="601">
        <v>110.3</v>
      </c>
      <c r="AF141" s="601">
        <v>114.8</v>
      </c>
      <c r="AG141" s="601">
        <v>116.35</v>
      </c>
      <c r="AH141" s="601">
        <f t="shared" si="35"/>
        <v>0</v>
      </c>
      <c r="AI141" s="601">
        <f t="shared" si="35"/>
        <v>0</v>
      </c>
      <c r="AJ141" s="601">
        <f t="shared" si="35"/>
        <v>0</v>
      </c>
      <c r="AK141" s="601">
        <f t="shared" si="35"/>
        <v>0</v>
      </c>
      <c r="AL141" s="601">
        <f t="shared" si="35"/>
        <v>0</v>
      </c>
      <c r="AM141" s="601">
        <f t="shared" si="35"/>
        <v>0</v>
      </c>
      <c r="AN141" s="556"/>
      <c r="AO141" s="556"/>
      <c r="AP141" s="556"/>
      <c r="AQ141" s="556"/>
      <c r="AR141" s="556"/>
      <c r="AS141" s="556"/>
      <c r="AT141" s="556"/>
      <c r="AU141" s="556"/>
      <c r="AV141" s="556"/>
      <c r="AW141" s="556"/>
      <c r="AX141" s="548"/>
      <c r="AY141" s="548"/>
      <c r="AZ141" s="548"/>
    </row>
    <row r="142" spans="1:53" s="537" customFormat="1" ht="11.25" collapsed="1" x14ac:dyDescent="0.15">
      <c r="A142" s="535" t="str">
        <f>'[14]Общие сведения'!$D$135</f>
        <v>2</v>
      </c>
      <c r="B142" s="536" t="str">
        <f>INDEX('[14]Общие сведения'!$N$121:$N$148,MATCH($A142,'[14]Общие сведения'!$D$121:$D$148,0))</f>
        <v>одноставочный</v>
      </c>
      <c r="D142" s="536" t="str">
        <f>INDEX('[14]Общие сведения'!$H$121:$H$148,MATCH($A142,'[14]Общие сведения'!$D$121:$D$148,0))</f>
        <v>Водоотведение</v>
      </c>
      <c r="L142" s="538" t="str">
        <f>INDEX('[14]Общие сведения'!$J$121:$J$148,MATCH($A142,'[14]Общие сведения'!$D$121:$D$148,0))</f>
        <v>Тариф 2 (Водоотведение) - тариф на водоотведение</v>
      </c>
      <c r="M142" s="539"/>
      <c r="N142" s="539"/>
      <c r="O142" s="539"/>
      <c r="P142" s="539"/>
      <c r="Q142" s="539"/>
      <c r="R142" s="539"/>
      <c r="S142" s="539"/>
      <c r="T142" s="539"/>
      <c r="U142" s="539"/>
      <c r="V142" s="539"/>
      <c r="W142" s="539"/>
      <c r="X142" s="539"/>
      <c r="Y142" s="539"/>
      <c r="Z142" s="539"/>
      <c r="AA142" s="539"/>
      <c r="AB142" s="539"/>
      <c r="AC142" s="539"/>
      <c r="AD142" s="539"/>
      <c r="AE142" s="539"/>
      <c r="AF142" s="539"/>
      <c r="AG142" s="539"/>
      <c r="AH142" s="539"/>
      <c r="AI142" s="539"/>
      <c r="AJ142" s="539"/>
      <c r="AK142" s="539"/>
      <c r="AL142" s="539"/>
      <c r="AM142" s="539"/>
      <c r="AN142" s="539"/>
      <c r="AO142" s="539"/>
      <c r="AP142" s="539"/>
      <c r="AQ142" s="539"/>
      <c r="AR142" s="539"/>
      <c r="AS142" s="539"/>
      <c r="AT142" s="539"/>
      <c r="AU142" s="539"/>
      <c r="AV142" s="539"/>
      <c r="AW142" s="539"/>
      <c r="AX142" s="539"/>
      <c r="AY142" s="539"/>
      <c r="AZ142" s="539"/>
    </row>
    <row r="143" spans="1:53" s="541" customFormat="1" ht="11.25" outlineLevel="1" x14ac:dyDescent="0.25">
      <c r="A143" s="540" t="str">
        <f>A142</f>
        <v>2</v>
      </c>
      <c r="C143" s="542"/>
      <c r="D143" s="542" t="s">
        <v>579</v>
      </c>
      <c r="L143" s="543" t="s">
        <v>380</v>
      </c>
      <c r="M143" s="544" t="s">
        <v>30</v>
      </c>
      <c r="N143" s="545" t="s">
        <v>123</v>
      </c>
      <c r="O143" s="546">
        <v>1262.52</v>
      </c>
      <c r="P143" s="546">
        <v>1435.68046</v>
      </c>
      <c r="Q143" s="546">
        <v>1260.23</v>
      </c>
      <c r="R143" s="546">
        <v>-175.45046000000002</v>
      </c>
      <c r="S143" s="546">
        <v>1776.42</v>
      </c>
      <c r="T143" s="547">
        <v>1851.03</v>
      </c>
      <c r="U143" s="547"/>
      <c r="V143" s="547"/>
      <c r="W143" s="547"/>
      <c r="X143" s="547"/>
      <c r="Y143" s="547"/>
      <c r="Z143" s="547"/>
      <c r="AA143" s="547"/>
      <c r="AB143" s="547"/>
      <c r="AC143" s="547"/>
      <c r="AD143" s="547">
        <v>1860.66</v>
      </c>
      <c r="AE143" s="547">
        <v>1886.76</v>
      </c>
      <c r="AF143" s="547">
        <v>1942.61</v>
      </c>
      <c r="AG143" s="547">
        <v>2000.11</v>
      </c>
      <c r="AH143" s="547" t="e">
        <f t="shared" ref="AH143:AM143" si="36">AG143*AH144</f>
        <v>#REF!</v>
      </c>
      <c r="AI143" s="547" t="e">
        <f t="shared" si="36"/>
        <v>#REF!</v>
      </c>
      <c r="AJ143" s="547" t="e">
        <f t="shared" si="36"/>
        <v>#REF!</v>
      </c>
      <c r="AK143" s="547" t="e">
        <f t="shared" si="36"/>
        <v>#REF!</v>
      </c>
      <c r="AL143" s="547" t="e">
        <f t="shared" si="36"/>
        <v>#REF!</v>
      </c>
      <c r="AM143" s="547" t="e">
        <f t="shared" si="36"/>
        <v>#REF!</v>
      </c>
      <c r="AN143" s="546">
        <f>IF(S143=0,0,(AD143-S143)/S143*100)</f>
        <v>4.7421217955213297</v>
      </c>
      <c r="AO143" s="546">
        <f t="shared" ref="AO143:AW143" si="37">IF(AD143=0,0,(AE143-AD143)/AD143*100)</f>
        <v>1.4027280642352664</v>
      </c>
      <c r="AP143" s="546">
        <f t="shared" si="37"/>
        <v>2.9601009137357113</v>
      </c>
      <c r="AQ143" s="546">
        <f t="shared" si="37"/>
        <v>2.9599353447166443</v>
      </c>
      <c r="AR143" s="546" t="e">
        <f t="shared" si="37"/>
        <v>#REF!</v>
      </c>
      <c r="AS143" s="546" t="e">
        <f t="shared" si="37"/>
        <v>#REF!</v>
      </c>
      <c r="AT143" s="546" t="e">
        <f t="shared" si="37"/>
        <v>#REF!</v>
      </c>
      <c r="AU143" s="546" t="e">
        <f t="shared" si="37"/>
        <v>#REF!</v>
      </c>
      <c r="AV143" s="546" t="e">
        <f t="shared" si="37"/>
        <v>#REF!</v>
      </c>
      <c r="AW143" s="546" t="e">
        <f t="shared" si="37"/>
        <v>#REF!</v>
      </c>
      <c r="AX143" s="548"/>
      <c r="AY143" s="548"/>
      <c r="AZ143" s="548"/>
      <c r="BA143" s="549"/>
    </row>
    <row r="144" spans="1:53" ht="11.25" outlineLevel="1" x14ac:dyDescent="0.25">
      <c r="A144" s="540" t="str">
        <f t="shared" ref="A144:A207" si="38">A143</f>
        <v>2</v>
      </c>
      <c r="C144" s="550"/>
      <c r="D144" s="550" t="s">
        <v>580</v>
      </c>
      <c r="L144" s="551" t="s">
        <v>12</v>
      </c>
      <c r="M144" s="552" t="s">
        <v>581</v>
      </c>
      <c r="N144" s="553"/>
      <c r="O144" s="554"/>
      <c r="P144" s="554"/>
      <c r="Q144" s="554"/>
      <c r="R144" s="555">
        <v>0</v>
      </c>
      <c r="S144" s="554"/>
      <c r="T144" s="554">
        <v>1.042</v>
      </c>
      <c r="U144" s="554">
        <v>1.04</v>
      </c>
      <c r="V144" s="554">
        <v>1.04</v>
      </c>
      <c r="W144" s="554">
        <v>1.04</v>
      </c>
      <c r="X144" s="554">
        <v>1</v>
      </c>
      <c r="Y144" s="554">
        <v>1</v>
      </c>
      <c r="Z144" s="554">
        <v>1</v>
      </c>
      <c r="AA144" s="554">
        <v>1</v>
      </c>
      <c r="AB144" s="554">
        <v>1</v>
      </c>
      <c r="AC144" s="554">
        <v>1</v>
      </c>
      <c r="AD144" s="554">
        <v>1.0474212179552134</v>
      </c>
      <c r="AE144" s="554">
        <v>1.04</v>
      </c>
      <c r="AF144" s="554">
        <v>1.04</v>
      </c>
      <c r="AG144" s="554">
        <v>1.04</v>
      </c>
      <c r="AH144" s="554" t="e">
        <f>SUMIFS(INDEX([14]Сценарии!$O$15:$AP$53,,MATCH(AH$3,[14]Сценарии!$O$3:$AP$3,0)),[14]Сценарии!$A$15:$A$53,$A144,[14]Сценарии!$B$15:$B$53,"ИОР")</f>
        <v>#REF!</v>
      </c>
      <c r="AI144" s="554" t="e">
        <f>SUMIFS(INDEX([14]Сценарии!$O$15:$AP$53,,MATCH(AI$3,[14]Сценарии!$O$3:$AP$3,0)),[14]Сценарии!$A$15:$A$53,$A144,[14]Сценарии!$B$15:$B$53,"ИОР")</f>
        <v>#REF!</v>
      </c>
      <c r="AJ144" s="554" t="e">
        <f>SUMIFS(INDEX([14]Сценарии!$O$15:$AP$53,,MATCH(AJ$3,[14]Сценарии!$O$3:$AP$3,0)),[14]Сценарии!$A$15:$A$53,$A144,[14]Сценарии!$B$15:$B$53,"ИОР")</f>
        <v>#REF!</v>
      </c>
      <c r="AK144" s="554" t="e">
        <f>SUMIFS(INDEX([14]Сценарии!$O$15:$AP$53,,MATCH(AK$3,[14]Сценарии!$O$3:$AP$3,0)),[14]Сценарии!$A$15:$A$53,$A144,[14]Сценарии!$B$15:$B$53,"ИОР")</f>
        <v>#REF!</v>
      </c>
      <c r="AL144" s="554" t="e">
        <f>SUMIFS(INDEX([14]Сценарии!$O$15:$AP$53,,MATCH(AL$3,[14]Сценарии!$O$3:$AP$3,0)),[14]Сценарии!$A$15:$A$53,$A144,[14]Сценарии!$B$15:$B$53,"ИОР")</f>
        <v>#REF!</v>
      </c>
      <c r="AM144" s="554" t="e">
        <f>SUMIFS(INDEX([14]Сценарии!$O$15:$AP$53,,MATCH(AM$3,[14]Сценарии!$O$3:$AP$3,0)),[14]Сценарии!$A$15:$A$53,$A144,[14]Сценарии!$B$15:$B$53,"ИОР")</f>
        <v>#REF!</v>
      </c>
      <c r="AN144" s="556"/>
      <c r="AO144" s="556"/>
      <c r="AP144" s="556"/>
      <c r="AQ144" s="556"/>
      <c r="AR144" s="556"/>
      <c r="AS144" s="556"/>
      <c r="AT144" s="556"/>
      <c r="AU144" s="556"/>
      <c r="AV144" s="556"/>
      <c r="AW144" s="556"/>
      <c r="AX144" s="548"/>
      <c r="AY144" s="548"/>
      <c r="AZ144" s="548"/>
    </row>
    <row r="145" spans="1:53" s="549" customFormat="1" ht="21" hidden="1" outlineLevel="1" x14ac:dyDescent="0.25">
      <c r="A145" s="540" t="str">
        <f t="shared" si="38"/>
        <v>2</v>
      </c>
      <c r="C145" s="542"/>
      <c r="D145" s="542" t="s">
        <v>582</v>
      </c>
      <c r="L145" s="543" t="s">
        <v>23</v>
      </c>
      <c r="M145" s="557" t="s">
        <v>583</v>
      </c>
      <c r="N145" s="545" t="s">
        <v>123</v>
      </c>
      <c r="O145" s="546">
        <v>1262.52</v>
      </c>
      <c r="P145" s="546">
        <v>1106.95326</v>
      </c>
      <c r="Q145" s="546">
        <v>1260.23</v>
      </c>
      <c r="R145" s="546">
        <v>153.27674000000002</v>
      </c>
      <c r="S145" s="546">
        <v>784.4</v>
      </c>
      <c r="T145" s="558"/>
      <c r="U145" s="558"/>
      <c r="V145" s="558"/>
      <c r="W145" s="558"/>
      <c r="X145" s="558"/>
      <c r="Y145" s="558"/>
      <c r="Z145" s="558"/>
      <c r="AA145" s="558"/>
      <c r="AB145" s="558"/>
      <c r="AC145" s="558"/>
      <c r="AD145" s="558"/>
      <c r="AE145" s="558"/>
      <c r="AF145" s="558"/>
      <c r="AG145" s="558"/>
      <c r="AH145" s="558"/>
      <c r="AI145" s="558"/>
      <c r="AJ145" s="558"/>
      <c r="AK145" s="558"/>
      <c r="AL145" s="558"/>
      <c r="AM145" s="558"/>
      <c r="AN145" s="558"/>
      <c r="AO145" s="558"/>
      <c r="AP145" s="558"/>
      <c r="AQ145" s="558"/>
      <c r="AR145" s="558"/>
      <c r="AS145" s="558"/>
      <c r="AT145" s="558"/>
      <c r="AU145" s="558"/>
      <c r="AV145" s="558"/>
      <c r="AW145" s="558"/>
      <c r="AX145" s="559"/>
      <c r="AY145" s="559"/>
      <c r="AZ145" s="559"/>
    </row>
    <row r="146" spans="1:53" ht="11.25" hidden="1" outlineLevel="1" x14ac:dyDescent="0.25">
      <c r="A146" s="540" t="str">
        <f t="shared" si="38"/>
        <v>2</v>
      </c>
      <c r="C146" s="550"/>
      <c r="D146" s="550" t="s">
        <v>584</v>
      </c>
      <c r="L146" s="551" t="s">
        <v>25</v>
      </c>
      <c r="M146" s="560" t="s">
        <v>585</v>
      </c>
      <c r="N146" s="561" t="s">
        <v>123</v>
      </c>
      <c r="O146" s="562">
        <v>0</v>
      </c>
      <c r="P146" s="562">
        <v>6.76</v>
      </c>
      <c r="Q146" s="562">
        <v>0</v>
      </c>
      <c r="R146" s="562">
        <v>-6.76</v>
      </c>
      <c r="S146" s="562">
        <v>51.62</v>
      </c>
      <c r="T146" s="556"/>
      <c r="U146" s="556"/>
      <c r="V146" s="556"/>
      <c r="W146" s="556"/>
      <c r="X146" s="556"/>
      <c r="Y146" s="556"/>
      <c r="Z146" s="556"/>
      <c r="AA146" s="556"/>
      <c r="AB146" s="556"/>
      <c r="AC146" s="556"/>
      <c r="AD146" s="556"/>
      <c r="AE146" s="556"/>
      <c r="AF146" s="556"/>
      <c r="AG146" s="556"/>
      <c r="AH146" s="556"/>
      <c r="AI146" s="556"/>
      <c r="AJ146" s="556"/>
      <c r="AK146" s="556"/>
      <c r="AL146" s="556"/>
      <c r="AM146" s="556"/>
      <c r="AN146" s="556"/>
      <c r="AO146" s="556"/>
      <c r="AP146" s="556"/>
      <c r="AQ146" s="556"/>
      <c r="AR146" s="556"/>
      <c r="AS146" s="556"/>
      <c r="AT146" s="556"/>
      <c r="AU146" s="556"/>
      <c r="AV146" s="556"/>
      <c r="AW146" s="556"/>
      <c r="AX146" s="548"/>
      <c r="AY146" s="548"/>
      <c r="AZ146" s="548"/>
      <c r="BA146" s="563"/>
    </row>
    <row r="147" spans="1:53" ht="15" hidden="1" outlineLevel="1" x14ac:dyDescent="0.25">
      <c r="A147" s="540" t="str">
        <f t="shared" si="38"/>
        <v>2</v>
      </c>
      <c r="C147" s="550"/>
      <c r="D147" s="550" t="s">
        <v>586</v>
      </c>
      <c r="L147" s="551" t="s">
        <v>587</v>
      </c>
      <c r="M147" s="564" t="s">
        <v>588</v>
      </c>
      <c r="N147" s="565" t="s">
        <v>123</v>
      </c>
      <c r="O147" s="566">
        <v>0</v>
      </c>
      <c r="P147" s="566">
        <v>6.76</v>
      </c>
      <c r="Q147" s="566"/>
      <c r="R147" s="562">
        <v>-6.76</v>
      </c>
      <c r="S147" s="566">
        <v>51.62</v>
      </c>
      <c r="T147" s="556"/>
      <c r="U147" s="556"/>
      <c r="V147" s="556"/>
      <c r="W147" s="556"/>
      <c r="X147" s="556"/>
      <c r="Y147" s="556"/>
      <c r="Z147" s="556"/>
      <c r="AA147" s="556"/>
      <c r="AB147" s="556"/>
      <c r="AC147" s="556"/>
      <c r="AD147" s="556"/>
      <c r="AE147" s="556"/>
      <c r="AF147" s="556"/>
      <c r="AG147" s="556"/>
      <c r="AH147" s="556"/>
      <c r="AI147" s="556"/>
      <c r="AJ147" s="556"/>
      <c r="AK147" s="556"/>
      <c r="AL147" s="556"/>
      <c r="AM147" s="556"/>
      <c r="AN147" s="556"/>
      <c r="AO147" s="556"/>
      <c r="AP147" s="556"/>
      <c r="AQ147" s="556"/>
      <c r="AR147" s="556"/>
      <c r="AS147" s="556"/>
      <c r="AT147" s="556"/>
      <c r="AU147" s="556"/>
      <c r="AV147" s="556"/>
      <c r="AW147" s="556"/>
      <c r="AX147" s="548"/>
      <c r="AY147" s="548"/>
      <c r="AZ147" s="548"/>
    </row>
    <row r="148" spans="1:53" ht="15" hidden="1" outlineLevel="1" x14ac:dyDescent="0.25">
      <c r="A148" s="540" t="str">
        <f t="shared" si="38"/>
        <v>2</v>
      </c>
      <c r="C148" s="550"/>
      <c r="D148" s="550" t="s">
        <v>589</v>
      </c>
      <c r="L148" s="551" t="s">
        <v>590</v>
      </c>
      <c r="M148" s="567" t="s">
        <v>591</v>
      </c>
      <c r="N148" s="565" t="s">
        <v>123</v>
      </c>
      <c r="O148" s="566">
        <v>0</v>
      </c>
      <c r="P148" s="566"/>
      <c r="Q148" s="566"/>
      <c r="R148" s="562">
        <v>0</v>
      </c>
      <c r="S148" s="566">
        <v>0</v>
      </c>
      <c r="T148" s="556"/>
      <c r="U148" s="556"/>
      <c r="V148" s="556"/>
      <c r="W148" s="556"/>
      <c r="X148" s="556"/>
      <c r="Y148" s="556"/>
      <c r="Z148" s="556"/>
      <c r="AA148" s="556"/>
      <c r="AB148" s="556"/>
      <c r="AC148" s="556"/>
      <c r="AD148" s="556"/>
      <c r="AE148" s="556"/>
      <c r="AF148" s="556"/>
      <c r="AG148" s="556"/>
      <c r="AH148" s="556"/>
      <c r="AI148" s="556"/>
      <c r="AJ148" s="556"/>
      <c r="AK148" s="556"/>
      <c r="AL148" s="556"/>
      <c r="AM148" s="556"/>
      <c r="AN148" s="556"/>
      <c r="AO148" s="556"/>
      <c r="AP148" s="556"/>
      <c r="AQ148" s="556"/>
      <c r="AR148" s="556"/>
      <c r="AS148" s="556"/>
      <c r="AT148" s="556"/>
      <c r="AU148" s="556"/>
      <c r="AV148" s="556"/>
      <c r="AW148" s="556"/>
      <c r="AX148" s="548"/>
      <c r="AY148" s="548"/>
      <c r="AZ148" s="548"/>
    </row>
    <row r="149" spans="1:53" ht="22.5" hidden="1" outlineLevel="1" x14ac:dyDescent="0.25">
      <c r="A149" s="540" t="str">
        <f t="shared" si="38"/>
        <v>2</v>
      </c>
      <c r="C149" s="550"/>
      <c r="D149" s="550" t="s">
        <v>592</v>
      </c>
      <c r="L149" s="551" t="s">
        <v>27</v>
      </c>
      <c r="M149" s="560" t="s">
        <v>593</v>
      </c>
      <c r="N149" s="561" t="s">
        <v>123</v>
      </c>
      <c r="O149" s="566">
        <v>0</v>
      </c>
      <c r="P149" s="566"/>
      <c r="Q149" s="566"/>
      <c r="R149" s="562">
        <v>0</v>
      </c>
      <c r="S149" s="566"/>
      <c r="T149" s="556"/>
      <c r="U149" s="556"/>
      <c r="V149" s="556"/>
      <c r="W149" s="556"/>
      <c r="X149" s="556"/>
      <c r="Y149" s="556"/>
      <c r="Z149" s="556"/>
      <c r="AA149" s="556"/>
      <c r="AB149" s="556"/>
      <c r="AC149" s="556"/>
      <c r="AD149" s="556"/>
      <c r="AE149" s="556"/>
      <c r="AF149" s="556"/>
      <c r="AG149" s="556"/>
      <c r="AH149" s="556"/>
      <c r="AI149" s="556"/>
      <c r="AJ149" s="556"/>
      <c r="AK149" s="556"/>
      <c r="AL149" s="556"/>
      <c r="AM149" s="556"/>
      <c r="AN149" s="556"/>
      <c r="AO149" s="556"/>
      <c r="AP149" s="556"/>
      <c r="AQ149" s="556"/>
      <c r="AR149" s="556"/>
      <c r="AS149" s="556"/>
      <c r="AT149" s="556"/>
      <c r="AU149" s="556"/>
      <c r="AV149" s="556"/>
      <c r="AW149" s="556"/>
      <c r="AX149" s="548"/>
      <c r="AY149" s="548"/>
      <c r="AZ149" s="548"/>
    </row>
    <row r="150" spans="1:53" ht="22.5" hidden="1" outlineLevel="1" x14ac:dyDescent="0.25">
      <c r="A150" s="540" t="str">
        <f t="shared" si="38"/>
        <v>2</v>
      </c>
      <c r="C150" s="550"/>
      <c r="D150" s="550" t="s">
        <v>594</v>
      </c>
      <c r="L150" s="551" t="s">
        <v>595</v>
      </c>
      <c r="M150" s="560" t="s">
        <v>596</v>
      </c>
      <c r="N150" s="565" t="s">
        <v>123</v>
      </c>
      <c r="O150" s="568">
        <v>0</v>
      </c>
      <c r="P150" s="568">
        <v>484.51326</v>
      </c>
      <c r="Q150" s="568">
        <v>0</v>
      </c>
      <c r="R150" s="562">
        <v>-484.51326</v>
      </c>
      <c r="S150" s="568">
        <v>732.78</v>
      </c>
      <c r="T150" s="556"/>
      <c r="U150" s="556"/>
      <c r="V150" s="556"/>
      <c r="W150" s="556"/>
      <c r="X150" s="556"/>
      <c r="Y150" s="556"/>
      <c r="Z150" s="556"/>
      <c r="AA150" s="556"/>
      <c r="AB150" s="556"/>
      <c r="AC150" s="556"/>
      <c r="AD150" s="556"/>
      <c r="AE150" s="556"/>
      <c r="AF150" s="556"/>
      <c r="AG150" s="556"/>
      <c r="AH150" s="556"/>
      <c r="AI150" s="556"/>
      <c r="AJ150" s="556"/>
      <c r="AK150" s="556"/>
      <c r="AL150" s="556"/>
      <c r="AM150" s="556"/>
      <c r="AN150" s="556"/>
      <c r="AO150" s="556"/>
      <c r="AP150" s="556"/>
      <c r="AQ150" s="556"/>
      <c r="AR150" s="556"/>
      <c r="AS150" s="556"/>
      <c r="AT150" s="556"/>
      <c r="AU150" s="556"/>
      <c r="AV150" s="556"/>
      <c r="AW150" s="556"/>
      <c r="AX150" s="548"/>
      <c r="AY150" s="548"/>
      <c r="AZ150" s="548"/>
    </row>
    <row r="151" spans="1:53" ht="15" hidden="1" outlineLevel="1" x14ac:dyDescent="0.25">
      <c r="A151" s="540" t="str">
        <f t="shared" si="38"/>
        <v>2</v>
      </c>
      <c r="B151" s="569" t="s">
        <v>597</v>
      </c>
      <c r="C151" s="550"/>
      <c r="D151" s="550" t="s">
        <v>598</v>
      </c>
      <c r="L151" s="551" t="s">
        <v>599</v>
      </c>
      <c r="M151" s="564" t="s">
        <v>600</v>
      </c>
      <c r="N151" s="561" t="s">
        <v>123</v>
      </c>
      <c r="O151" s="566">
        <v>0</v>
      </c>
      <c r="P151" s="566">
        <v>372.13</v>
      </c>
      <c r="Q151" s="566"/>
      <c r="R151" s="562">
        <v>-372.13</v>
      </c>
      <c r="S151" s="566">
        <v>562.80999999999995</v>
      </c>
      <c r="T151" s="556"/>
      <c r="U151" s="556"/>
      <c r="V151" s="556"/>
      <c r="W151" s="556"/>
      <c r="X151" s="556"/>
      <c r="Y151" s="556"/>
      <c r="Z151" s="556"/>
      <c r="AA151" s="556"/>
      <c r="AB151" s="556"/>
      <c r="AC151" s="556"/>
      <c r="AD151" s="556"/>
      <c r="AE151" s="556"/>
      <c r="AF151" s="556"/>
      <c r="AG151" s="556"/>
      <c r="AH151" s="556"/>
      <c r="AI151" s="556"/>
      <c r="AJ151" s="556"/>
      <c r="AK151" s="556"/>
      <c r="AL151" s="556"/>
      <c r="AM151" s="556"/>
      <c r="AN151" s="556"/>
      <c r="AO151" s="556"/>
      <c r="AP151" s="556"/>
      <c r="AQ151" s="556"/>
      <c r="AR151" s="556"/>
      <c r="AS151" s="556"/>
      <c r="AT151" s="556"/>
      <c r="AU151" s="556"/>
      <c r="AV151" s="556"/>
      <c r="AW151" s="556"/>
      <c r="AX151" s="548"/>
      <c r="AY151" s="548"/>
      <c r="AZ151" s="548"/>
    </row>
    <row r="152" spans="1:53" ht="30" hidden="1" outlineLevel="1" x14ac:dyDescent="0.25">
      <c r="A152" s="540" t="str">
        <f t="shared" si="38"/>
        <v>2</v>
      </c>
      <c r="B152" s="569" t="s">
        <v>601</v>
      </c>
      <c r="C152" s="550"/>
      <c r="D152" s="550" t="s">
        <v>602</v>
      </c>
      <c r="L152" s="551" t="s">
        <v>603</v>
      </c>
      <c r="M152" s="564" t="s">
        <v>604</v>
      </c>
      <c r="N152" s="565" t="s">
        <v>123</v>
      </c>
      <c r="O152" s="566">
        <v>0</v>
      </c>
      <c r="P152" s="566">
        <v>112.38325999999999</v>
      </c>
      <c r="Q152" s="566">
        <v>0</v>
      </c>
      <c r="R152" s="562">
        <v>-112.38325999999999</v>
      </c>
      <c r="S152" s="566">
        <v>169.97</v>
      </c>
      <c r="T152" s="556"/>
      <c r="U152" s="556"/>
      <c r="V152" s="556"/>
      <c r="W152" s="556"/>
      <c r="X152" s="556"/>
      <c r="Y152" s="556"/>
      <c r="Z152" s="556"/>
      <c r="AA152" s="556"/>
      <c r="AB152" s="556"/>
      <c r="AC152" s="556"/>
      <c r="AD152" s="556"/>
      <c r="AE152" s="556"/>
      <c r="AF152" s="556"/>
      <c r="AG152" s="556"/>
      <c r="AH152" s="556"/>
      <c r="AI152" s="556"/>
      <c r="AJ152" s="556"/>
      <c r="AK152" s="556"/>
      <c r="AL152" s="556"/>
      <c r="AM152" s="556"/>
      <c r="AN152" s="556"/>
      <c r="AO152" s="556"/>
      <c r="AP152" s="556"/>
      <c r="AQ152" s="556"/>
      <c r="AR152" s="556"/>
      <c r="AS152" s="556"/>
      <c r="AT152" s="556"/>
      <c r="AU152" s="556"/>
      <c r="AV152" s="556"/>
      <c r="AW152" s="556"/>
      <c r="AX152" s="548"/>
      <c r="AY152" s="548"/>
      <c r="AZ152" s="548"/>
    </row>
    <row r="153" spans="1:53" ht="11.25" hidden="1" outlineLevel="1" x14ac:dyDescent="0.25">
      <c r="A153" s="540" t="str">
        <f t="shared" si="38"/>
        <v>2</v>
      </c>
      <c r="C153" s="550"/>
      <c r="D153" s="550" t="s">
        <v>605</v>
      </c>
      <c r="L153" s="551" t="s">
        <v>606</v>
      </c>
      <c r="M153" s="560" t="s">
        <v>607</v>
      </c>
      <c r="N153" s="561" t="s">
        <v>123</v>
      </c>
      <c r="O153" s="566">
        <v>0</v>
      </c>
      <c r="P153" s="566"/>
      <c r="Q153" s="566"/>
      <c r="R153" s="562">
        <v>0</v>
      </c>
      <c r="S153" s="566"/>
      <c r="T153" s="556"/>
      <c r="U153" s="556"/>
      <c r="V153" s="556"/>
      <c r="W153" s="556"/>
      <c r="X153" s="556"/>
      <c r="Y153" s="556"/>
      <c r="Z153" s="556"/>
      <c r="AA153" s="556"/>
      <c r="AB153" s="556"/>
      <c r="AC153" s="556"/>
      <c r="AD153" s="556"/>
      <c r="AE153" s="556"/>
      <c r="AF153" s="556"/>
      <c r="AG153" s="556"/>
      <c r="AH153" s="556"/>
      <c r="AI153" s="556"/>
      <c r="AJ153" s="556"/>
      <c r="AK153" s="556"/>
      <c r="AL153" s="556"/>
      <c r="AM153" s="556"/>
      <c r="AN153" s="556"/>
      <c r="AO153" s="556"/>
      <c r="AP153" s="556"/>
      <c r="AQ153" s="556"/>
      <c r="AR153" s="556"/>
      <c r="AS153" s="556"/>
      <c r="AT153" s="556"/>
      <c r="AU153" s="556"/>
      <c r="AV153" s="556"/>
      <c r="AW153" s="556"/>
      <c r="AX153" s="548"/>
      <c r="AY153" s="548"/>
      <c r="AZ153" s="548"/>
    </row>
    <row r="154" spans="1:53" ht="15" hidden="1" outlineLevel="1" x14ac:dyDescent="0.25">
      <c r="A154" s="540" t="str">
        <f t="shared" si="38"/>
        <v>2</v>
      </c>
      <c r="C154" s="550"/>
      <c r="D154" s="550" t="s">
        <v>608</v>
      </c>
      <c r="L154" s="551" t="s">
        <v>609</v>
      </c>
      <c r="M154" s="570" t="s">
        <v>610</v>
      </c>
      <c r="N154" s="553" t="s">
        <v>123</v>
      </c>
      <c r="O154" s="568">
        <v>1262.52</v>
      </c>
      <c r="P154" s="568">
        <v>615.68000000000006</v>
      </c>
      <c r="Q154" s="568">
        <v>1260.23</v>
      </c>
      <c r="R154" s="562">
        <v>644.54999999999995</v>
      </c>
      <c r="S154" s="568">
        <v>0</v>
      </c>
      <c r="T154" s="556"/>
      <c r="U154" s="556"/>
      <c r="V154" s="556"/>
      <c r="W154" s="556"/>
      <c r="X154" s="556"/>
      <c r="Y154" s="556"/>
      <c r="Z154" s="556"/>
      <c r="AA154" s="556"/>
      <c r="AB154" s="556"/>
      <c r="AC154" s="556"/>
      <c r="AD154" s="556"/>
      <c r="AE154" s="556"/>
      <c r="AF154" s="556"/>
      <c r="AG154" s="556"/>
      <c r="AH154" s="556"/>
      <c r="AI154" s="556"/>
      <c r="AJ154" s="556"/>
      <c r="AK154" s="556"/>
      <c r="AL154" s="556"/>
      <c r="AM154" s="556"/>
      <c r="AN154" s="556"/>
      <c r="AO154" s="556"/>
      <c r="AP154" s="556"/>
      <c r="AQ154" s="556"/>
      <c r="AR154" s="556"/>
      <c r="AS154" s="556"/>
      <c r="AT154" s="556"/>
      <c r="AU154" s="556"/>
      <c r="AV154" s="556"/>
      <c r="AW154" s="556"/>
      <c r="AX154" s="548"/>
      <c r="AY154" s="548"/>
      <c r="AZ154" s="548"/>
    </row>
    <row r="155" spans="1:53" ht="11.25" hidden="1" outlineLevel="1" x14ac:dyDescent="0.25">
      <c r="A155" s="540" t="str">
        <f t="shared" si="38"/>
        <v>2</v>
      </c>
      <c r="C155" s="550"/>
      <c r="D155" s="550" t="s">
        <v>611</v>
      </c>
      <c r="L155" s="551" t="s">
        <v>612</v>
      </c>
      <c r="M155" s="567" t="s">
        <v>613</v>
      </c>
      <c r="N155" s="553" t="s">
        <v>123</v>
      </c>
      <c r="O155" s="566">
        <v>0</v>
      </c>
      <c r="P155" s="566"/>
      <c r="Q155" s="566"/>
      <c r="R155" s="562">
        <v>0</v>
      </c>
      <c r="S155" s="566"/>
      <c r="T155" s="556"/>
      <c r="U155" s="556"/>
      <c r="V155" s="556"/>
      <c r="W155" s="556"/>
      <c r="X155" s="556"/>
      <c r="Y155" s="556"/>
      <c r="Z155" s="556"/>
      <c r="AA155" s="556"/>
      <c r="AB155" s="556"/>
      <c r="AC155" s="556"/>
      <c r="AD155" s="556"/>
      <c r="AE155" s="556"/>
      <c r="AF155" s="556"/>
      <c r="AG155" s="556"/>
      <c r="AH155" s="556"/>
      <c r="AI155" s="556"/>
      <c r="AJ155" s="556"/>
      <c r="AK155" s="556"/>
      <c r="AL155" s="556"/>
      <c r="AM155" s="556"/>
      <c r="AN155" s="556"/>
      <c r="AO155" s="556"/>
      <c r="AP155" s="556"/>
      <c r="AQ155" s="556"/>
      <c r="AR155" s="556"/>
      <c r="AS155" s="556"/>
      <c r="AT155" s="556"/>
      <c r="AU155" s="556"/>
      <c r="AV155" s="556"/>
      <c r="AW155" s="556"/>
      <c r="AX155" s="548"/>
      <c r="AY155" s="548"/>
      <c r="AZ155" s="548"/>
    </row>
    <row r="156" spans="1:53" ht="22.5" hidden="1" outlineLevel="1" x14ac:dyDescent="0.25">
      <c r="A156" s="540" t="str">
        <f t="shared" si="38"/>
        <v>2</v>
      </c>
      <c r="C156" s="550"/>
      <c r="D156" s="550" t="s">
        <v>614</v>
      </c>
      <c r="L156" s="551" t="s">
        <v>615</v>
      </c>
      <c r="M156" s="567" t="s">
        <v>616</v>
      </c>
      <c r="N156" s="553" t="s">
        <v>123</v>
      </c>
      <c r="O156" s="566">
        <v>0</v>
      </c>
      <c r="P156" s="566"/>
      <c r="Q156" s="566"/>
      <c r="R156" s="562">
        <v>0</v>
      </c>
      <c r="S156" s="566"/>
      <c r="T156" s="556"/>
      <c r="U156" s="556"/>
      <c r="V156" s="556"/>
      <c r="W156" s="556"/>
      <c r="X156" s="556"/>
      <c r="Y156" s="556"/>
      <c r="Z156" s="556"/>
      <c r="AA156" s="556"/>
      <c r="AB156" s="556"/>
      <c r="AC156" s="556"/>
      <c r="AD156" s="556"/>
      <c r="AE156" s="556"/>
      <c r="AF156" s="556"/>
      <c r="AG156" s="556"/>
      <c r="AH156" s="556"/>
      <c r="AI156" s="556"/>
      <c r="AJ156" s="556"/>
      <c r="AK156" s="556"/>
      <c r="AL156" s="556"/>
      <c r="AM156" s="556"/>
      <c r="AN156" s="556"/>
      <c r="AO156" s="556"/>
      <c r="AP156" s="556"/>
      <c r="AQ156" s="556"/>
      <c r="AR156" s="556"/>
      <c r="AS156" s="556"/>
      <c r="AT156" s="556"/>
      <c r="AU156" s="556"/>
      <c r="AV156" s="556"/>
      <c r="AW156" s="556"/>
      <c r="AX156" s="548"/>
      <c r="AY156" s="548"/>
      <c r="AZ156" s="548"/>
    </row>
    <row r="157" spans="1:53" ht="22.5" hidden="1" outlineLevel="1" x14ac:dyDescent="0.25">
      <c r="A157" s="540" t="str">
        <f t="shared" si="38"/>
        <v>2</v>
      </c>
      <c r="C157" s="550"/>
      <c r="D157" s="550" t="s">
        <v>617</v>
      </c>
      <c r="L157" s="551" t="s">
        <v>618</v>
      </c>
      <c r="M157" s="571" t="s">
        <v>619</v>
      </c>
      <c r="N157" s="553" t="s">
        <v>123</v>
      </c>
      <c r="O157" s="566">
        <v>0</v>
      </c>
      <c r="P157" s="566"/>
      <c r="Q157" s="566"/>
      <c r="R157" s="562">
        <v>0</v>
      </c>
      <c r="S157" s="566"/>
      <c r="T157" s="556"/>
      <c r="U157" s="556"/>
      <c r="V157" s="556"/>
      <c r="W157" s="556"/>
      <c r="X157" s="556"/>
      <c r="Y157" s="556"/>
      <c r="Z157" s="556"/>
      <c r="AA157" s="556"/>
      <c r="AB157" s="556"/>
      <c r="AC157" s="556"/>
      <c r="AD157" s="556"/>
      <c r="AE157" s="556"/>
      <c r="AF157" s="556"/>
      <c r="AG157" s="556"/>
      <c r="AH157" s="556"/>
      <c r="AI157" s="556"/>
      <c r="AJ157" s="556"/>
      <c r="AK157" s="556"/>
      <c r="AL157" s="556"/>
      <c r="AM157" s="556"/>
      <c r="AN157" s="556"/>
      <c r="AO157" s="556"/>
      <c r="AP157" s="556"/>
      <c r="AQ157" s="556"/>
      <c r="AR157" s="556"/>
      <c r="AS157" s="556"/>
      <c r="AT157" s="556"/>
      <c r="AU157" s="556"/>
      <c r="AV157" s="556"/>
      <c r="AW157" s="556"/>
      <c r="AX157" s="548"/>
      <c r="AY157" s="548"/>
      <c r="AZ157" s="548"/>
    </row>
    <row r="158" spans="1:53" ht="22.5" hidden="1" outlineLevel="1" x14ac:dyDescent="0.25">
      <c r="A158" s="540" t="str">
        <f t="shared" si="38"/>
        <v>2</v>
      </c>
      <c r="C158" s="550"/>
      <c r="D158" s="550" t="s">
        <v>620</v>
      </c>
      <c r="L158" s="551" t="s">
        <v>621</v>
      </c>
      <c r="M158" s="571" t="s">
        <v>622</v>
      </c>
      <c r="N158" s="553" t="s">
        <v>123</v>
      </c>
      <c r="O158" s="566">
        <v>0</v>
      </c>
      <c r="P158" s="566"/>
      <c r="Q158" s="566"/>
      <c r="R158" s="562">
        <v>0</v>
      </c>
      <c r="S158" s="566"/>
      <c r="T158" s="556"/>
      <c r="U158" s="556"/>
      <c r="V158" s="556"/>
      <c r="W158" s="556"/>
      <c r="X158" s="556"/>
      <c r="Y158" s="556"/>
      <c r="Z158" s="556"/>
      <c r="AA158" s="556"/>
      <c r="AB158" s="556"/>
      <c r="AC158" s="556"/>
      <c r="AD158" s="556"/>
      <c r="AE158" s="556"/>
      <c r="AF158" s="556"/>
      <c r="AG158" s="556"/>
      <c r="AH158" s="556"/>
      <c r="AI158" s="556"/>
      <c r="AJ158" s="556"/>
      <c r="AK158" s="556"/>
      <c r="AL158" s="556"/>
      <c r="AM158" s="556"/>
      <c r="AN158" s="556"/>
      <c r="AO158" s="556"/>
      <c r="AP158" s="556"/>
      <c r="AQ158" s="556"/>
      <c r="AR158" s="556"/>
      <c r="AS158" s="556"/>
      <c r="AT158" s="556"/>
      <c r="AU158" s="556"/>
      <c r="AV158" s="556"/>
      <c r="AW158" s="556"/>
      <c r="AX158" s="548"/>
      <c r="AY158" s="548"/>
      <c r="AZ158" s="548"/>
    </row>
    <row r="159" spans="1:53" ht="45" hidden="1" outlineLevel="1" x14ac:dyDescent="0.25">
      <c r="A159" s="540" t="str">
        <f t="shared" si="38"/>
        <v>2</v>
      </c>
      <c r="C159" s="550"/>
      <c r="D159" s="550" t="s">
        <v>623</v>
      </c>
      <c r="L159" s="551" t="s">
        <v>624</v>
      </c>
      <c r="M159" s="567" t="s">
        <v>625</v>
      </c>
      <c r="N159" s="553" t="s">
        <v>123</v>
      </c>
      <c r="O159" s="566">
        <v>0</v>
      </c>
      <c r="P159" s="566">
        <v>522.82000000000005</v>
      </c>
      <c r="Q159" s="566"/>
      <c r="R159" s="562">
        <v>-522.82000000000005</v>
      </c>
      <c r="S159" s="566"/>
      <c r="T159" s="556"/>
      <c r="U159" s="556"/>
      <c r="V159" s="556"/>
      <c r="W159" s="556"/>
      <c r="X159" s="556"/>
      <c r="Y159" s="556"/>
      <c r="Z159" s="556"/>
      <c r="AA159" s="556"/>
      <c r="AB159" s="556"/>
      <c r="AC159" s="556"/>
      <c r="AD159" s="556"/>
      <c r="AE159" s="556"/>
      <c r="AF159" s="556"/>
      <c r="AG159" s="556"/>
      <c r="AH159" s="556"/>
      <c r="AI159" s="556"/>
      <c r="AJ159" s="556"/>
      <c r="AK159" s="556"/>
      <c r="AL159" s="556"/>
      <c r="AM159" s="556"/>
      <c r="AN159" s="556"/>
      <c r="AO159" s="556"/>
      <c r="AP159" s="556"/>
      <c r="AQ159" s="556"/>
      <c r="AR159" s="556"/>
      <c r="AS159" s="556"/>
      <c r="AT159" s="556"/>
      <c r="AU159" s="556"/>
      <c r="AV159" s="556"/>
      <c r="AW159" s="556"/>
      <c r="AX159" s="548"/>
      <c r="AY159" s="548"/>
      <c r="AZ159" s="548"/>
    </row>
    <row r="160" spans="1:53" ht="11.25" hidden="1" outlineLevel="1" x14ac:dyDescent="0.25">
      <c r="A160" s="540" t="str">
        <f t="shared" si="38"/>
        <v>2</v>
      </c>
      <c r="C160" s="550"/>
      <c r="D160" s="550" t="s">
        <v>626</v>
      </c>
      <c r="L160" s="551" t="s">
        <v>627</v>
      </c>
      <c r="M160" s="567" t="s">
        <v>628</v>
      </c>
      <c r="N160" s="553" t="s">
        <v>123</v>
      </c>
      <c r="O160" s="566">
        <v>0</v>
      </c>
      <c r="P160" s="566"/>
      <c r="Q160" s="566"/>
      <c r="R160" s="562">
        <v>0</v>
      </c>
      <c r="S160" s="566"/>
      <c r="T160" s="556"/>
      <c r="U160" s="556"/>
      <c r="V160" s="556"/>
      <c r="W160" s="556"/>
      <c r="X160" s="556"/>
      <c r="Y160" s="556"/>
      <c r="Z160" s="556"/>
      <c r="AA160" s="556"/>
      <c r="AB160" s="556"/>
      <c r="AC160" s="556"/>
      <c r="AD160" s="556"/>
      <c r="AE160" s="556"/>
      <c r="AF160" s="556"/>
      <c r="AG160" s="556"/>
      <c r="AH160" s="556"/>
      <c r="AI160" s="556"/>
      <c r="AJ160" s="556"/>
      <c r="AK160" s="556"/>
      <c r="AL160" s="556"/>
      <c r="AM160" s="556"/>
      <c r="AN160" s="556"/>
      <c r="AO160" s="556"/>
      <c r="AP160" s="556"/>
      <c r="AQ160" s="556"/>
      <c r="AR160" s="556"/>
      <c r="AS160" s="556"/>
      <c r="AT160" s="556"/>
      <c r="AU160" s="556"/>
      <c r="AV160" s="556"/>
      <c r="AW160" s="556"/>
      <c r="AX160" s="548"/>
      <c r="AY160" s="548"/>
      <c r="AZ160" s="548"/>
    </row>
    <row r="161" spans="1:52" ht="11.25" hidden="1" outlineLevel="1" x14ac:dyDescent="0.25">
      <c r="A161" s="540" t="str">
        <f t="shared" si="38"/>
        <v>2</v>
      </c>
      <c r="C161" s="550"/>
      <c r="D161" s="550" t="s">
        <v>629</v>
      </c>
      <c r="L161" s="551" t="s">
        <v>630</v>
      </c>
      <c r="M161" s="567" t="s">
        <v>631</v>
      </c>
      <c r="N161" s="553" t="s">
        <v>123</v>
      </c>
      <c r="O161" s="566">
        <v>1262.52</v>
      </c>
      <c r="P161" s="566">
        <v>92.86</v>
      </c>
      <c r="Q161" s="566">
        <v>1260.23</v>
      </c>
      <c r="R161" s="562">
        <v>1167.3700000000001</v>
      </c>
      <c r="S161" s="566"/>
      <c r="T161" s="556"/>
      <c r="U161" s="556"/>
      <c r="V161" s="556"/>
      <c r="W161" s="556"/>
      <c r="X161" s="556"/>
      <c r="Y161" s="556"/>
      <c r="Z161" s="556"/>
      <c r="AA161" s="556"/>
      <c r="AB161" s="556"/>
      <c r="AC161" s="556"/>
      <c r="AD161" s="556"/>
      <c r="AE161" s="556"/>
      <c r="AF161" s="556"/>
      <c r="AG161" s="556"/>
      <c r="AH161" s="556"/>
      <c r="AI161" s="556"/>
      <c r="AJ161" s="556"/>
      <c r="AK161" s="556"/>
      <c r="AL161" s="556"/>
      <c r="AM161" s="556"/>
      <c r="AN161" s="556"/>
      <c r="AO161" s="556"/>
      <c r="AP161" s="556"/>
      <c r="AQ161" s="556"/>
      <c r="AR161" s="556"/>
      <c r="AS161" s="556"/>
      <c r="AT161" s="556"/>
      <c r="AU161" s="556"/>
      <c r="AV161" s="556"/>
      <c r="AW161" s="556"/>
      <c r="AX161" s="548"/>
      <c r="AY161" s="548"/>
      <c r="AZ161" s="548"/>
    </row>
    <row r="162" spans="1:52" s="572" customFormat="1" ht="11.25" hidden="1" outlineLevel="1" x14ac:dyDescent="0.25">
      <c r="A162" s="540" t="str">
        <f t="shared" si="38"/>
        <v>2</v>
      </c>
      <c r="C162" s="550"/>
      <c r="D162" s="550" t="s">
        <v>632</v>
      </c>
      <c r="L162" s="573" t="s">
        <v>37</v>
      </c>
      <c r="M162" s="574" t="s">
        <v>633</v>
      </c>
      <c r="N162" s="575" t="s">
        <v>123</v>
      </c>
      <c r="O162" s="576">
        <v>0</v>
      </c>
      <c r="P162" s="576">
        <v>28.23</v>
      </c>
      <c r="Q162" s="576">
        <v>0</v>
      </c>
      <c r="R162" s="546">
        <v>-28.23</v>
      </c>
      <c r="S162" s="576">
        <v>678.59</v>
      </c>
      <c r="T162" s="558"/>
      <c r="U162" s="558"/>
      <c r="V162" s="558"/>
      <c r="W162" s="558"/>
      <c r="X162" s="558"/>
      <c r="Y162" s="558"/>
      <c r="Z162" s="558"/>
      <c r="AA162" s="558"/>
      <c r="AB162" s="558"/>
      <c r="AC162" s="558"/>
      <c r="AD162" s="558"/>
      <c r="AE162" s="558"/>
      <c r="AF162" s="558"/>
      <c r="AG162" s="558"/>
      <c r="AH162" s="558"/>
      <c r="AI162" s="558"/>
      <c r="AJ162" s="558"/>
      <c r="AK162" s="558"/>
      <c r="AL162" s="558"/>
      <c r="AM162" s="558"/>
      <c r="AN162" s="558"/>
      <c r="AO162" s="558"/>
      <c r="AP162" s="558"/>
      <c r="AQ162" s="558"/>
      <c r="AR162" s="558"/>
      <c r="AS162" s="558"/>
      <c r="AT162" s="558"/>
      <c r="AU162" s="558"/>
      <c r="AV162" s="558"/>
      <c r="AW162" s="558"/>
      <c r="AX162" s="559"/>
      <c r="AY162" s="559"/>
      <c r="AZ162" s="559"/>
    </row>
    <row r="163" spans="1:52" ht="22.5" hidden="1" outlineLevel="1" x14ac:dyDescent="0.25">
      <c r="A163" s="540" t="str">
        <f t="shared" si="38"/>
        <v>2</v>
      </c>
      <c r="C163" s="550"/>
      <c r="D163" s="550" t="s">
        <v>634</v>
      </c>
      <c r="L163" s="551" t="s">
        <v>39</v>
      </c>
      <c r="M163" s="560" t="s">
        <v>635</v>
      </c>
      <c r="N163" s="553" t="s">
        <v>123</v>
      </c>
      <c r="O163" s="566">
        <v>0</v>
      </c>
      <c r="P163" s="566">
        <v>28.23</v>
      </c>
      <c r="Q163" s="566"/>
      <c r="R163" s="562">
        <v>-28.23</v>
      </c>
      <c r="S163" s="566">
        <v>678.59</v>
      </c>
      <c r="T163" s="556"/>
      <c r="U163" s="556"/>
      <c r="V163" s="556"/>
      <c r="W163" s="556"/>
      <c r="X163" s="556"/>
      <c r="Y163" s="556"/>
      <c r="Z163" s="556"/>
      <c r="AA163" s="556"/>
      <c r="AB163" s="556"/>
      <c r="AC163" s="556"/>
      <c r="AD163" s="556"/>
      <c r="AE163" s="556"/>
      <c r="AF163" s="556"/>
      <c r="AG163" s="556"/>
      <c r="AH163" s="556"/>
      <c r="AI163" s="556"/>
      <c r="AJ163" s="556"/>
      <c r="AK163" s="556"/>
      <c r="AL163" s="556"/>
      <c r="AM163" s="556"/>
      <c r="AN163" s="556"/>
      <c r="AO163" s="556"/>
      <c r="AP163" s="556"/>
      <c r="AQ163" s="556"/>
      <c r="AR163" s="556"/>
      <c r="AS163" s="556"/>
      <c r="AT163" s="556"/>
      <c r="AU163" s="556"/>
      <c r="AV163" s="556"/>
      <c r="AW163" s="556"/>
      <c r="AX163" s="548"/>
      <c r="AY163" s="548"/>
      <c r="AZ163" s="548"/>
    </row>
    <row r="164" spans="1:52" ht="45" hidden="1" outlineLevel="1" x14ac:dyDescent="0.25">
      <c r="A164" s="540" t="str">
        <f t="shared" si="38"/>
        <v>2</v>
      </c>
      <c r="C164" s="550"/>
      <c r="D164" s="550" t="s">
        <v>636</v>
      </c>
      <c r="L164" s="551" t="s">
        <v>47</v>
      </c>
      <c r="M164" s="570" t="s">
        <v>637</v>
      </c>
      <c r="N164" s="553" t="s">
        <v>123</v>
      </c>
      <c r="O164" s="566">
        <v>0</v>
      </c>
      <c r="P164" s="566"/>
      <c r="Q164" s="566"/>
      <c r="R164" s="562">
        <v>0</v>
      </c>
      <c r="S164" s="566">
        <v>0</v>
      </c>
      <c r="T164" s="556"/>
      <c r="U164" s="556"/>
      <c r="V164" s="556"/>
      <c r="W164" s="556"/>
      <c r="X164" s="556"/>
      <c r="Y164" s="556"/>
      <c r="Z164" s="556"/>
      <c r="AA164" s="556"/>
      <c r="AB164" s="556"/>
      <c r="AC164" s="556"/>
      <c r="AD164" s="556"/>
      <c r="AE164" s="556"/>
      <c r="AF164" s="556"/>
      <c r="AG164" s="556"/>
      <c r="AH164" s="556"/>
      <c r="AI164" s="556"/>
      <c r="AJ164" s="556"/>
      <c r="AK164" s="556"/>
      <c r="AL164" s="556"/>
      <c r="AM164" s="556"/>
      <c r="AN164" s="556"/>
      <c r="AO164" s="556"/>
      <c r="AP164" s="556"/>
      <c r="AQ164" s="556"/>
      <c r="AR164" s="556"/>
      <c r="AS164" s="556"/>
      <c r="AT164" s="556"/>
      <c r="AU164" s="556"/>
      <c r="AV164" s="556"/>
      <c r="AW164" s="556"/>
      <c r="AX164" s="548"/>
      <c r="AY164" s="548"/>
      <c r="AZ164" s="548"/>
    </row>
    <row r="165" spans="1:52" ht="30" hidden="1" outlineLevel="1" x14ac:dyDescent="0.25">
      <c r="A165" s="540" t="str">
        <f t="shared" si="38"/>
        <v>2</v>
      </c>
      <c r="C165" s="550"/>
      <c r="D165" s="550" t="s">
        <v>638</v>
      </c>
      <c r="L165" s="551" t="s">
        <v>639</v>
      </c>
      <c r="M165" s="570" t="s">
        <v>640</v>
      </c>
      <c r="N165" s="553" t="s">
        <v>123</v>
      </c>
      <c r="O165" s="566">
        <v>0</v>
      </c>
      <c r="P165" s="566"/>
      <c r="Q165" s="566"/>
      <c r="R165" s="562">
        <v>0</v>
      </c>
      <c r="S165" s="566">
        <v>0</v>
      </c>
      <c r="T165" s="556"/>
      <c r="U165" s="556"/>
      <c r="V165" s="556"/>
      <c r="W165" s="556"/>
      <c r="X165" s="556"/>
      <c r="Y165" s="556"/>
      <c r="Z165" s="556"/>
      <c r="AA165" s="556"/>
      <c r="AB165" s="556"/>
      <c r="AC165" s="556"/>
      <c r="AD165" s="556"/>
      <c r="AE165" s="556"/>
      <c r="AF165" s="556"/>
      <c r="AG165" s="556"/>
      <c r="AH165" s="556"/>
      <c r="AI165" s="556"/>
      <c r="AJ165" s="556"/>
      <c r="AK165" s="556"/>
      <c r="AL165" s="556"/>
      <c r="AM165" s="556"/>
      <c r="AN165" s="556"/>
      <c r="AO165" s="556"/>
      <c r="AP165" s="556"/>
      <c r="AQ165" s="556"/>
      <c r="AR165" s="556"/>
      <c r="AS165" s="556"/>
      <c r="AT165" s="556"/>
      <c r="AU165" s="556"/>
      <c r="AV165" s="556"/>
      <c r="AW165" s="556"/>
      <c r="AX165" s="548"/>
      <c r="AY165" s="548"/>
      <c r="AZ165" s="548"/>
    </row>
    <row r="166" spans="1:52" ht="15" hidden="1" outlineLevel="1" x14ac:dyDescent="0.25">
      <c r="A166" s="540" t="str">
        <f t="shared" si="38"/>
        <v>2</v>
      </c>
      <c r="B166" s="577" t="s">
        <v>641</v>
      </c>
      <c r="C166" s="550"/>
      <c r="D166" s="550" t="s">
        <v>642</v>
      </c>
      <c r="L166" s="551" t="s">
        <v>643</v>
      </c>
      <c r="M166" s="564" t="s">
        <v>644</v>
      </c>
      <c r="N166" s="553" t="s">
        <v>123</v>
      </c>
      <c r="O166" s="566">
        <v>0</v>
      </c>
      <c r="P166" s="566"/>
      <c r="Q166" s="566"/>
      <c r="R166" s="562">
        <v>0</v>
      </c>
      <c r="S166" s="566">
        <v>0</v>
      </c>
      <c r="T166" s="556"/>
      <c r="U166" s="556"/>
      <c r="V166" s="556"/>
      <c r="W166" s="556"/>
      <c r="X166" s="556"/>
      <c r="Y166" s="556"/>
      <c r="Z166" s="556"/>
      <c r="AA166" s="556"/>
      <c r="AB166" s="556"/>
      <c r="AC166" s="556"/>
      <c r="AD166" s="556"/>
      <c r="AE166" s="556"/>
      <c r="AF166" s="556"/>
      <c r="AG166" s="556"/>
      <c r="AH166" s="556"/>
      <c r="AI166" s="556"/>
      <c r="AJ166" s="556"/>
      <c r="AK166" s="556"/>
      <c r="AL166" s="556"/>
      <c r="AM166" s="556"/>
      <c r="AN166" s="556"/>
      <c r="AO166" s="556"/>
      <c r="AP166" s="556"/>
      <c r="AQ166" s="556"/>
      <c r="AR166" s="556"/>
      <c r="AS166" s="556"/>
      <c r="AT166" s="556"/>
      <c r="AU166" s="556"/>
      <c r="AV166" s="556"/>
      <c r="AW166" s="556"/>
      <c r="AX166" s="548"/>
      <c r="AY166" s="548"/>
      <c r="AZ166" s="548"/>
    </row>
    <row r="167" spans="1:52" ht="30" hidden="1" outlineLevel="1" x14ac:dyDescent="0.25">
      <c r="A167" s="540" t="str">
        <f t="shared" si="38"/>
        <v>2</v>
      </c>
      <c r="B167" s="577" t="s">
        <v>645</v>
      </c>
      <c r="C167" s="550"/>
      <c r="D167" s="550" t="s">
        <v>646</v>
      </c>
      <c r="L167" s="551" t="s">
        <v>647</v>
      </c>
      <c r="M167" s="564" t="s">
        <v>648</v>
      </c>
      <c r="N167" s="553" t="s">
        <v>123</v>
      </c>
      <c r="O167" s="566">
        <v>0</v>
      </c>
      <c r="P167" s="566">
        <v>0</v>
      </c>
      <c r="Q167" s="566">
        <v>0</v>
      </c>
      <c r="R167" s="562">
        <v>0</v>
      </c>
      <c r="S167" s="566">
        <v>0</v>
      </c>
      <c r="T167" s="556"/>
      <c r="U167" s="556"/>
      <c r="V167" s="556"/>
      <c r="W167" s="556"/>
      <c r="X167" s="556"/>
      <c r="Y167" s="556"/>
      <c r="Z167" s="556"/>
      <c r="AA167" s="556"/>
      <c r="AB167" s="556"/>
      <c r="AC167" s="556"/>
      <c r="AD167" s="556"/>
      <c r="AE167" s="556"/>
      <c r="AF167" s="556"/>
      <c r="AG167" s="556"/>
      <c r="AH167" s="556"/>
      <c r="AI167" s="556"/>
      <c r="AJ167" s="556"/>
      <c r="AK167" s="556"/>
      <c r="AL167" s="556"/>
      <c r="AM167" s="556"/>
      <c r="AN167" s="556"/>
      <c r="AO167" s="556"/>
      <c r="AP167" s="556"/>
      <c r="AQ167" s="556"/>
      <c r="AR167" s="556"/>
      <c r="AS167" s="556"/>
      <c r="AT167" s="556"/>
      <c r="AU167" s="556"/>
      <c r="AV167" s="556"/>
      <c r="AW167" s="556"/>
      <c r="AX167" s="548"/>
      <c r="AY167" s="548"/>
      <c r="AZ167" s="548"/>
    </row>
    <row r="168" spans="1:52" s="572" customFormat="1" ht="11.25" hidden="1" outlineLevel="1" x14ac:dyDescent="0.25">
      <c r="A168" s="540" t="str">
        <f t="shared" si="38"/>
        <v>2</v>
      </c>
      <c r="C168" s="550"/>
      <c r="D168" s="550" t="s">
        <v>649</v>
      </c>
      <c r="L168" s="573" t="s">
        <v>52</v>
      </c>
      <c r="M168" s="574" t="s">
        <v>83</v>
      </c>
      <c r="N168" s="575" t="s">
        <v>123</v>
      </c>
      <c r="O168" s="576">
        <v>0</v>
      </c>
      <c r="P168" s="576">
        <v>300.49720000000002</v>
      </c>
      <c r="Q168" s="576">
        <v>0</v>
      </c>
      <c r="R168" s="546">
        <v>-300.49720000000002</v>
      </c>
      <c r="S168" s="576">
        <v>313.43</v>
      </c>
      <c r="T168" s="558"/>
      <c r="U168" s="558"/>
      <c r="V168" s="558"/>
      <c r="W168" s="558"/>
      <c r="X168" s="558"/>
      <c r="Y168" s="558"/>
      <c r="Z168" s="558"/>
      <c r="AA168" s="558"/>
      <c r="AB168" s="558"/>
      <c r="AC168" s="558"/>
      <c r="AD168" s="558"/>
      <c r="AE168" s="558"/>
      <c r="AF168" s="558"/>
      <c r="AG168" s="558"/>
      <c r="AH168" s="558"/>
      <c r="AI168" s="558"/>
      <c r="AJ168" s="558"/>
      <c r="AK168" s="558"/>
      <c r="AL168" s="558"/>
      <c r="AM168" s="558"/>
      <c r="AN168" s="558"/>
      <c r="AO168" s="558"/>
      <c r="AP168" s="558"/>
      <c r="AQ168" s="558"/>
      <c r="AR168" s="558"/>
      <c r="AS168" s="558"/>
      <c r="AT168" s="558"/>
      <c r="AU168" s="558"/>
      <c r="AV168" s="558"/>
      <c r="AW168" s="558"/>
      <c r="AX168" s="559"/>
      <c r="AY168" s="559"/>
      <c r="AZ168" s="559"/>
    </row>
    <row r="169" spans="1:52" ht="22.5" hidden="1" outlineLevel="1" x14ac:dyDescent="0.25">
      <c r="A169" s="540" t="str">
        <f t="shared" si="38"/>
        <v>2</v>
      </c>
      <c r="B169" s="520" t="s">
        <v>650</v>
      </c>
      <c r="C169" s="550"/>
      <c r="D169" s="550" t="s">
        <v>651</v>
      </c>
      <c r="L169" s="551" t="s">
        <v>652</v>
      </c>
      <c r="M169" s="560" t="s">
        <v>653</v>
      </c>
      <c r="N169" s="553" t="s">
        <v>123</v>
      </c>
      <c r="O169" s="568">
        <v>0</v>
      </c>
      <c r="P169" s="568">
        <v>27.87</v>
      </c>
      <c r="Q169" s="568">
        <v>0</v>
      </c>
      <c r="R169" s="562">
        <v>-27.87</v>
      </c>
      <c r="S169" s="568">
        <v>0</v>
      </c>
      <c r="T169" s="556"/>
      <c r="U169" s="556"/>
      <c r="V169" s="556"/>
      <c r="W169" s="556"/>
      <c r="X169" s="556"/>
      <c r="Y169" s="556"/>
      <c r="Z169" s="556"/>
      <c r="AA169" s="556"/>
      <c r="AB169" s="556"/>
      <c r="AC169" s="556"/>
      <c r="AD169" s="556"/>
      <c r="AE169" s="556"/>
      <c r="AF169" s="556"/>
      <c r="AG169" s="556"/>
      <c r="AH169" s="556"/>
      <c r="AI169" s="556"/>
      <c r="AJ169" s="556"/>
      <c r="AK169" s="556"/>
      <c r="AL169" s="556"/>
      <c r="AM169" s="556"/>
      <c r="AN169" s="556"/>
      <c r="AO169" s="556"/>
      <c r="AP169" s="556"/>
      <c r="AQ169" s="556"/>
      <c r="AR169" s="556"/>
      <c r="AS169" s="556"/>
      <c r="AT169" s="556"/>
      <c r="AU169" s="556"/>
      <c r="AV169" s="556"/>
      <c r="AW169" s="556"/>
      <c r="AX169" s="548"/>
      <c r="AY169" s="548"/>
      <c r="AZ169" s="548"/>
    </row>
    <row r="170" spans="1:52" ht="15" hidden="1" outlineLevel="1" x14ac:dyDescent="0.25">
      <c r="A170" s="540" t="str">
        <f t="shared" si="38"/>
        <v>2</v>
      </c>
      <c r="B170" s="520" t="s">
        <v>654</v>
      </c>
      <c r="C170" s="550"/>
      <c r="D170" s="550" t="s">
        <v>655</v>
      </c>
      <c r="L170" s="551" t="s">
        <v>656</v>
      </c>
      <c r="M170" s="564" t="s">
        <v>657</v>
      </c>
      <c r="N170" s="553" t="s">
        <v>123</v>
      </c>
      <c r="O170" s="566">
        <v>0</v>
      </c>
      <c r="P170" s="566">
        <v>3.57</v>
      </c>
      <c r="Q170" s="566"/>
      <c r="R170" s="562">
        <v>-3.57</v>
      </c>
      <c r="S170" s="566">
        <v>0</v>
      </c>
      <c r="T170" s="556"/>
      <c r="U170" s="556"/>
      <c r="V170" s="556"/>
      <c r="W170" s="556"/>
      <c r="X170" s="556"/>
      <c r="Y170" s="556"/>
      <c r="Z170" s="556"/>
      <c r="AA170" s="556"/>
      <c r="AB170" s="556"/>
      <c r="AC170" s="556"/>
      <c r="AD170" s="556"/>
      <c r="AE170" s="556"/>
      <c r="AF170" s="556"/>
      <c r="AG170" s="556"/>
      <c r="AH170" s="556"/>
      <c r="AI170" s="556"/>
      <c r="AJ170" s="556"/>
      <c r="AK170" s="556"/>
      <c r="AL170" s="556"/>
      <c r="AM170" s="556"/>
      <c r="AN170" s="556"/>
      <c r="AO170" s="556"/>
      <c r="AP170" s="556"/>
      <c r="AQ170" s="556"/>
      <c r="AR170" s="556"/>
      <c r="AS170" s="556"/>
      <c r="AT170" s="556"/>
      <c r="AU170" s="556"/>
      <c r="AV170" s="556"/>
      <c r="AW170" s="556"/>
      <c r="AX170" s="548"/>
      <c r="AY170" s="548"/>
      <c r="AZ170" s="548"/>
    </row>
    <row r="171" spans="1:52" ht="15" hidden="1" outlineLevel="1" x14ac:dyDescent="0.25">
      <c r="A171" s="540" t="str">
        <f t="shared" si="38"/>
        <v>2</v>
      </c>
      <c r="B171" s="520" t="s">
        <v>658</v>
      </c>
      <c r="C171" s="550"/>
      <c r="D171" s="550" t="s">
        <v>659</v>
      </c>
      <c r="L171" s="551" t="s">
        <v>660</v>
      </c>
      <c r="M171" s="564" t="s">
        <v>661</v>
      </c>
      <c r="N171" s="553" t="s">
        <v>123</v>
      </c>
      <c r="O171" s="566">
        <v>0</v>
      </c>
      <c r="P171" s="566"/>
      <c r="Q171" s="566"/>
      <c r="R171" s="562">
        <v>0</v>
      </c>
      <c r="S171" s="566">
        <v>0</v>
      </c>
      <c r="T171" s="556"/>
      <c r="U171" s="556"/>
      <c r="V171" s="556"/>
      <c r="W171" s="556"/>
      <c r="X171" s="556"/>
      <c r="Y171" s="556"/>
      <c r="Z171" s="556"/>
      <c r="AA171" s="556"/>
      <c r="AB171" s="556"/>
      <c r="AC171" s="556"/>
      <c r="AD171" s="556"/>
      <c r="AE171" s="556"/>
      <c r="AF171" s="556"/>
      <c r="AG171" s="556"/>
      <c r="AH171" s="556"/>
      <c r="AI171" s="556"/>
      <c r="AJ171" s="556"/>
      <c r="AK171" s="556"/>
      <c r="AL171" s="556"/>
      <c r="AM171" s="556"/>
      <c r="AN171" s="556"/>
      <c r="AO171" s="556"/>
      <c r="AP171" s="556"/>
      <c r="AQ171" s="556"/>
      <c r="AR171" s="556"/>
      <c r="AS171" s="556"/>
      <c r="AT171" s="556"/>
      <c r="AU171" s="556"/>
      <c r="AV171" s="556"/>
      <c r="AW171" s="556"/>
      <c r="AX171" s="548"/>
      <c r="AY171" s="548"/>
      <c r="AZ171" s="548"/>
    </row>
    <row r="172" spans="1:52" ht="15" hidden="1" outlineLevel="1" x14ac:dyDescent="0.25">
      <c r="A172" s="540" t="str">
        <f t="shared" si="38"/>
        <v>2</v>
      </c>
      <c r="B172" s="520" t="s">
        <v>662</v>
      </c>
      <c r="C172" s="550"/>
      <c r="D172" s="550" t="s">
        <v>663</v>
      </c>
      <c r="L172" s="551" t="s">
        <v>664</v>
      </c>
      <c r="M172" s="564" t="s">
        <v>665</v>
      </c>
      <c r="N172" s="553" t="s">
        <v>123</v>
      </c>
      <c r="O172" s="566">
        <v>0</v>
      </c>
      <c r="P172" s="566"/>
      <c r="Q172" s="566"/>
      <c r="R172" s="562">
        <v>0</v>
      </c>
      <c r="S172" s="566">
        <v>0</v>
      </c>
      <c r="T172" s="556"/>
      <c r="U172" s="556"/>
      <c r="V172" s="556"/>
      <c r="W172" s="556"/>
      <c r="X172" s="556"/>
      <c r="Y172" s="556"/>
      <c r="Z172" s="556"/>
      <c r="AA172" s="556"/>
      <c r="AB172" s="556"/>
      <c r="AC172" s="556"/>
      <c r="AD172" s="556"/>
      <c r="AE172" s="556"/>
      <c r="AF172" s="556"/>
      <c r="AG172" s="556"/>
      <c r="AH172" s="556"/>
      <c r="AI172" s="556"/>
      <c r="AJ172" s="556"/>
      <c r="AK172" s="556"/>
      <c r="AL172" s="556"/>
      <c r="AM172" s="556"/>
      <c r="AN172" s="556"/>
      <c r="AO172" s="556"/>
      <c r="AP172" s="556"/>
      <c r="AQ172" s="556"/>
      <c r="AR172" s="556"/>
      <c r="AS172" s="556"/>
      <c r="AT172" s="556"/>
      <c r="AU172" s="556"/>
      <c r="AV172" s="556"/>
      <c r="AW172" s="556"/>
      <c r="AX172" s="548"/>
      <c r="AY172" s="548"/>
      <c r="AZ172" s="548"/>
    </row>
    <row r="173" spans="1:52" ht="15" hidden="1" outlineLevel="1" x14ac:dyDescent="0.25">
      <c r="A173" s="540" t="str">
        <f t="shared" si="38"/>
        <v>2</v>
      </c>
      <c r="B173" s="520" t="s">
        <v>666</v>
      </c>
      <c r="C173" s="550"/>
      <c r="D173" s="550" t="s">
        <v>667</v>
      </c>
      <c r="L173" s="551" t="s">
        <v>668</v>
      </c>
      <c r="M173" s="564" t="s">
        <v>669</v>
      </c>
      <c r="N173" s="553" t="s">
        <v>123</v>
      </c>
      <c r="O173" s="566">
        <v>0</v>
      </c>
      <c r="P173" s="566"/>
      <c r="Q173" s="566"/>
      <c r="R173" s="562">
        <v>0</v>
      </c>
      <c r="S173" s="566">
        <v>0</v>
      </c>
      <c r="T173" s="556"/>
      <c r="U173" s="556"/>
      <c r="V173" s="556"/>
      <c r="W173" s="556"/>
      <c r="X173" s="556"/>
      <c r="Y173" s="556"/>
      <c r="Z173" s="556"/>
      <c r="AA173" s="556"/>
      <c r="AB173" s="556"/>
      <c r="AC173" s="556"/>
      <c r="AD173" s="556"/>
      <c r="AE173" s="556"/>
      <c r="AF173" s="556"/>
      <c r="AG173" s="556"/>
      <c r="AH173" s="556"/>
      <c r="AI173" s="556"/>
      <c r="AJ173" s="556"/>
      <c r="AK173" s="556"/>
      <c r="AL173" s="556"/>
      <c r="AM173" s="556"/>
      <c r="AN173" s="556"/>
      <c r="AO173" s="556"/>
      <c r="AP173" s="556"/>
      <c r="AQ173" s="556"/>
      <c r="AR173" s="556"/>
      <c r="AS173" s="556"/>
      <c r="AT173" s="556"/>
      <c r="AU173" s="556"/>
      <c r="AV173" s="556"/>
      <c r="AW173" s="556"/>
      <c r="AX173" s="548"/>
      <c r="AY173" s="548"/>
      <c r="AZ173" s="548"/>
    </row>
    <row r="174" spans="1:52" ht="15" hidden="1" outlineLevel="1" x14ac:dyDescent="0.25">
      <c r="A174" s="540" t="str">
        <f t="shared" si="38"/>
        <v>2</v>
      </c>
      <c r="B174" s="520" t="s">
        <v>670</v>
      </c>
      <c r="C174" s="550"/>
      <c r="D174" s="550" t="s">
        <v>671</v>
      </c>
      <c r="L174" s="551" t="s">
        <v>672</v>
      </c>
      <c r="M174" s="564" t="s">
        <v>673</v>
      </c>
      <c r="N174" s="553" t="s">
        <v>123</v>
      </c>
      <c r="O174" s="566">
        <v>0</v>
      </c>
      <c r="P174" s="566"/>
      <c r="Q174" s="566"/>
      <c r="R174" s="562">
        <v>0</v>
      </c>
      <c r="S174" s="566">
        <v>0</v>
      </c>
      <c r="T174" s="556"/>
      <c r="U174" s="556"/>
      <c r="V174" s="556"/>
      <c r="W174" s="556"/>
      <c r="X174" s="556"/>
      <c r="Y174" s="556"/>
      <c r="Z174" s="556"/>
      <c r="AA174" s="556"/>
      <c r="AB174" s="556"/>
      <c r="AC174" s="556"/>
      <c r="AD174" s="556"/>
      <c r="AE174" s="556"/>
      <c r="AF174" s="556"/>
      <c r="AG174" s="556"/>
      <c r="AH174" s="556"/>
      <c r="AI174" s="556"/>
      <c r="AJ174" s="556"/>
      <c r="AK174" s="556"/>
      <c r="AL174" s="556"/>
      <c r="AM174" s="556"/>
      <c r="AN174" s="556"/>
      <c r="AO174" s="556"/>
      <c r="AP174" s="556"/>
      <c r="AQ174" s="556"/>
      <c r="AR174" s="556"/>
      <c r="AS174" s="556"/>
      <c r="AT174" s="556"/>
      <c r="AU174" s="556"/>
      <c r="AV174" s="556"/>
      <c r="AW174" s="556"/>
      <c r="AX174" s="548"/>
      <c r="AY174" s="548"/>
      <c r="AZ174" s="548"/>
    </row>
    <row r="175" spans="1:52" ht="15" hidden="1" outlineLevel="1" x14ac:dyDescent="0.25">
      <c r="A175" s="540" t="str">
        <f t="shared" si="38"/>
        <v>2</v>
      </c>
      <c r="B175" s="520" t="s">
        <v>674</v>
      </c>
      <c r="C175" s="550"/>
      <c r="D175" s="550" t="s">
        <v>675</v>
      </c>
      <c r="L175" s="551" t="s">
        <v>676</v>
      </c>
      <c r="M175" s="564" t="s">
        <v>677</v>
      </c>
      <c r="N175" s="553" t="s">
        <v>123</v>
      </c>
      <c r="O175" s="566">
        <v>0</v>
      </c>
      <c r="P175" s="566"/>
      <c r="Q175" s="566"/>
      <c r="R175" s="562">
        <v>0</v>
      </c>
      <c r="S175" s="566">
        <v>0</v>
      </c>
      <c r="T175" s="556"/>
      <c r="U175" s="556"/>
      <c r="V175" s="556"/>
      <c r="W175" s="556"/>
      <c r="X175" s="556"/>
      <c r="Y175" s="556"/>
      <c r="Z175" s="556"/>
      <c r="AA175" s="556"/>
      <c r="AB175" s="556"/>
      <c r="AC175" s="556"/>
      <c r="AD175" s="556"/>
      <c r="AE175" s="556"/>
      <c r="AF175" s="556"/>
      <c r="AG175" s="556"/>
      <c r="AH175" s="556"/>
      <c r="AI175" s="556"/>
      <c r="AJ175" s="556"/>
      <c r="AK175" s="556"/>
      <c r="AL175" s="556"/>
      <c r="AM175" s="556"/>
      <c r="AN175" s="556"/>
      <c r="AO175" s="556"/>
      <c r="AP175" s="556"/>
      <c r="AQ175" s="556"/>
      <c r="AR175" s="556"/>
      <c r="AS175" s="556"/>
      <c r="AT175" s="556"/>
      <c r="AU175" s="556"/>
      <c r="AV175" s="556"/>
      <c r="AW175" s="556"/>
      <c r="AX175" s="548"/>
      <c r="AY175" s="548"/>
      <c r="AZ175" s="548"/>
    </row>
    <row r="176" spans="1:52" ht="15" hidden="1" outlineLevel="1" x14ac:dyDescent="0.25">
      <c r="A176" s="540" t="str">
        <f t="shared" si="38"/>
        <v>2</v>
      </c>
      <c r="B176" s="520" t="s">
        <v>678</v>
      </c>
      <c r="C176" s="550"/>
      <c r="D176" s="550" t="s">
        <v>679</v>
      </c>
      <c r="L176" s="551" t="s">
        <v>680</v>
      </c>
      <c r="M176" s="564" t="s">
        <v>681</v>
      </c>
      <c r="N176" s="553" t="s">
        <v>123</v>
      </c>
      <c r="O176" s="566">
        <v>0</v>
      </c>
      <c r="P176" s="566">
        <v>24.3</v>
      </c>
      <c r="Q176" s="566"/>
      <c r="R176" s="562">
        <v>-24.3</v>
      </c>
      <c r="S176" s="566">
        <v>0</v>
      </c>
      <c r="T176" s="556"/>
      <c r="U176" s="556"/>
      <c r="V176" s="556"/>
      <c r="W176" s="556"/>
      <c r="X176" s="556"/>
      <c r="Y176" s="556"/>
      <c r="Z176" s="556"/>
      <c r="AA176" s="556"/>
      <c r="AB176" s="556"/>
      <c r="AC176" s="556"/>
      <c r="AD176" s="556"/>
      <c r="AE176" s="556"/>
      <c r="AF176" s="556"/>
      <c r="AG176" s="556"/>
      <c r="AH176" s="556"/>
      <c r="AI176" s="556"/>
      <c r="AJ176" s="556"/>
      <c r="AK176" s="556"/>
      <c r="AL176" s="556"/>
      <c r="AM176" s="556"/>
      <c r="AN176" s="556"/>
      <c r="AO176" s="556"/>
      <c r="AP176" s="556"/>
      <c r="AQ176" s="556"/>
      <c r="AR176" s="556"/>
      <c r="AS176" s="556"/>
      <c r="AT176" s="556"/>
      <c r="AU176" s="556"/>
      <c r="AV176" s="556"/>
      <c r="AW176" s="556"/>
      <c r="AX176" s="548"/>
      <c r="AY176" s="548"/>
      <c r="AZ176" s="548"/>
    </row>
    <row r="177" spans="1:52" ht="22.5" hidden="1" outlineLevel="1" x14ac:dyDescent="0.25">
      <c r="A177" s="540" t="str">
        <f t="shared" si="38"/>
        <v>2</v>
      </c>
      <c r="C177" s="550"/>
      <c r="D177" s="550" t="s">
        <v>682</v>
      </c>
      <c r="L177" s="551" t="s">
        <v>683</v>
      </c>
      <c r="M177" s="560" t="s">
        <v>684</v>
      </c>
      <c r="N177" s="553" t="s">
        <v>123</v>
      </c>
      <c r="O177" s="568">
        <v>0</v>
      </c>
      <c r="P177" s="568">
        <v>206.49719999999999</v>
      </c>
      <c r="Q177" s="568">
        <v>0</v>
      </c>
      <c r="R177" s="562">
        <v>-206.49719999999999</v>
      </c>
      <c r="S177" s="568">
        <v>313.43</v>
      </c>
      <c r="T177" s="556"/>
      <c r="U177" s="556"/>
      <c r="V177" s="556"/>
      <c r="W177" s="556"/>
      <c r="X177" s="556"/>
      <c r="Y177" s="556"/>
      <c r="Z177" s="556"/>
      <c r="AA177" s="556"/>
      <c r="AB177" s="556"/>
      <c r="AC177" s="556"/>
      <c r="AD177" s="556"/>
      <c r="AE177" s="556"/>
      <c r="AF177" s="556"/>
      <c r="AG177" s="556"/>
      <c r="AH177" s="556"/>
      <c r="AI177" s="556"/>
      <c r="AJ177" s="556"/>
      <c r="AK177" s="556"/>
      <c r="AL177" s="556"/>
      <c r="AM177" s="556"/>
      <c r="AN177" s="556"/>
      <c r="AO177" s="556"/>
      <c r="AP177" s="556"/>
      <c r="AQ177" s="556"/>
      <c r="AR177" s="556"/>
      <c r="AS177" s="556"/>
      <c r="AT177" s="556"/>
      <c r="AU177" s="556"/>
      <c r="AV177" s="556"/>
      <c r="AW177" s="556"/>
      <c r="AX177" s="548"/>
      <c r="AY177" s="548"/>
      <c r="AZ177" s="548"/>
    </row>
    <row r="178" spans="1:52" ht="30" hidden="1" outlineLevel="1" x14ac:dyDescent="0.25">
      <c r="A178" s="540" t="str">
        <f t="shared" si="38"/>
        <v>2</v>
      </c>
      <c r="B178" s="520" t="s">
        <v>685</v>
      </c>
      <c r="C178" s="550"/>
      <c r="D178" s="550" t="s">
        <v>686</v>
      </c>
      <c r="L178" s="551" t="s">
        <v>687</v>
      </c>
      <c r="M178" s="564" t="s">
        <v>688</v>
      </c>
      <c r="N178" s="578" t="s">
        <v>123</v>
      </c>
      <c r="O178" s="566">
        <v>0</v>
      </c>
      <c r="P178" s="566">
        <v>158.6</v>
      </c>
      <c r="Q178" s="566"/>
      <c r="R178" s="562">
        <v>-158.6</v>
      </c>
      <c r="S178" s="566">
        <v>240.73</v>
      </c>
      <c r="T178" s="556"/>
      <c r="U178" s="556"/>
      <c r="V178" s="556"/>
      <c r="W178" s="556"/>
      <c r="X178" s="556"/>
      <c r="Y178" s="556"/>
      <c r="Z178" s="556"/>
      <c r="AA178" s="556"/>
      <c r="AB178" s="556"/>
      <c r="AC178" s="556"/>
      <c r="AD178" s="556"/>
      <c r="AE178" s="556"/>
      <c r="AF178" s="556"/>
      <c r="AG178" s="556"/>
      <c r="AH178" s="556"/>
      <c r="AI178" s="556"/>
      <c r="AJ178" s="556"/>
      <c r="AK178" s="556"/>
      <c r="AL178" s="556"/>
      <c r="AM178" s="556"/>
      <c r="AN178" s="556"/>
      <c r="AO178" s="556"/>
      <c r="AP178" s="556"/>
      <c r="AQ178" s="556"/>
      <c r="AR178" s="556"/>
      <c r="AS178" s="556"/>
      <c r="AT178" s="556"/>
      <c r="AU178" s="556"/>
      <c r="AV178" s="556"/>
      <c r="AW178" s="556"/>
      <c r="AX178" s="548"/>
      <c r="AY178" s="548"/>
      <c r="AZ178" s="548"/>
    </row>
    <row r="179" spans="1:52" ht="30" hidden="1" outlineLevel="1" x14ac:dyDescent="0.25">
      <c r="A179" s="540" t="str">
        <f t="shared" si="38"/>
        <v>2</v>
      </c>
      <c r="B179" s="520" t="s">
        <v>689</v>
      </c>
      <c r="C179" s="550"/>
      <c r="D179" s="550" t="s">
        <v>690</v>
      </c>
      <c r="L179" s="551" t="s">
        <v>691</v>
      </c>
      <c r="M179" s="564" t="s">
        <v>692</v>
      </c>
      <c r="N179" s="553" t="s">
        <v>123</v>
      </c>
      <c r="O179" s="566">
        <v>0</v>
      </c>
      <c r="P179" s="566">
        <v>47.897199999999991</v>
      </c>
      <c r="Q179" s="566">
        <v>0</v>
      </c>
      <c r="R179" s="562">
        <v>-47.897199999999991</v>
      </c>
      <c r="S179" s="566">
        <v>72.7</v>
      </c>
      <c r="T179" s="556"/>
      <c r="U179" s="556"/>
      <c r="V179" s="556"/>
      <c r="W179" s="556"/>
      <c r="X179" s="556"/>
      <c r="Y179" s="556"/>
      <c r="Z179" s="556"/>
      <c r="AA179" s="556"/>
      <c r="AB179" s="556"/>
      <c r="AC179" s="556"/>
      <c r="AD179" s="556"/>
      <c r="AE179" s="556"/>
      <c r="AF179" s="556"/>
      <c r="AG179" s="556"/>
      <c r="AH179" s="556"/>
      <c r="AI179" s="556"/>
      <c r="AJ179" s="556"/>
      <c r="AK179" s="556"/>
      <c r="AL179" s="556"/>
      <c r="AM179" s="556"/>
      <c r="AN179" s="556"/>
      <c r="AO179" s="556"/>
      <c r="AP179" s="556"/>
      <c r="AQ179" s="556"/>
      <c r="AR179" s="556"/>
      <c r="AS179" s="556"/>
      <c r="AT179" s="556"/>
      <c r="AU179" s="556"/>
      <c r="AV179" s="556"/>
      <c r="AW179" s="556"/>
      <c r="AX179" s="548"/>
      <c r="AY179" s="548"/>
      <c r="AZ179" s="548"/>
    </row>
    <row r="180" spans="1:52" ht="33.75" hidden="1" outlineLevel="1" x14ac:dyDescent="0.25">
      <c r="A180" s="540" t="str">
        <f t="shared" si="38"/>
        <v>2</v>
      </c>
      <c r="B180" s="577" t="s">
        <v>693</v>
      </c>
      <c r="C180" s="550"/>
      <c r="D180" s="550" t="s">
        <v>694</v>
      </c>
      <c r="L180" s="551" t="s">
        <v>695</v>
      </c>
      <c r="M180" s="560" t="s">
        <v>696</v>
      </c>
      <c r="N180" s="553" t="s">
        <v>123</v>
      </c>
      <c r="O180" s="566">
        <v>0</v>
      </c>
      <c r="P180" s="566">
        <v>4.9000000000000004</v>
      </c>
      <c r="Q180" s="566"/>
      <c r="R180" s="562">
        <v>-4.9000000000000004</v>
      </c>
      <c r="S180" s="566">
        <v>0</v>
      </c>
      <c r="T180" s="556"/>
      <c r="U180" s="556"/>
      <c r="V180" s="556"/>
      <c r="W180" s="556"/>
      <c r="X180" s="556"/>
      <c r="Y180" s="556"/>
      <c r="Z180" s="556"/>
      <c r="AA180" s="556"/>
      <c r="AB180" s="556"/>
      <c r="AC180" s="556"/>
      <c r="AD180" s="556"/>
      <c r="AE180" s="556"/>
      <c r="AF180" s="556"/>
      <c r="AG180" s="556"/>
      <c r="AH180" s="556"/>
      <c r="AI180" s="556"/>
      <c r="AJ180" s="556"/>
      <c r="AK180" s="556"/>
      <c r="AL180" s="556"/>
      <c r="AM180" s="556"/>
      <c r="AN180" s="556"/>
      <c r="AO180" s="556"/>
      <c r="AP180" s="556"/>
      <c r="AQ180" s="556"/>
      <c r="AR180" s="556"/>
      <c r="AS180" s="556"/>
      <c r="AT180" s="556"/>
      <c r="AU180" s="556"/>
      <c r="AV180" s="556"/>
      <c r="AW180" s="556"/>
      <c r="AX180" s="548"/>
      <c r="AY180" s="548"/>
      <c r="AZ180" s="548"/>
    </row>
    <row r="181" spans="1:52" ht="15" hidden="1" outlineLevel="1" x14ac:dyDescent="0.25">
      <c r="A181" s="540" t="str">
        <f t="shared" si="38"/>
        <v>2</v>
      </c>
      <c r="B181" s="577" t="s">
        <v>697</v>
      </c>
      <c r="C181" s="550"/>
      <c r="D181" s="550" t="s">
        <v>698</v>
      </c>
      <c r="L181" s="551" t="s">
        <v>699</v>
      </c>
      <c r="M181" s="560" t="s">
        <v>700</v>
      </c>
      <c r="N181" s="553" t="s">
        <v>123</v>
      </c>
      <c r="O181" s="566">
        <v>0</v>
      </c>
      <c r="P181" s="566"/>
      <c r="Q181" s="566"/>
      <c r="R181" s="562">
        <v>0</v>
      </c>
      <c r="S181" s="566">
        <v>0</v>
      </c>
      <c r="T181" s="556"/>
      <c r="U181" s="556"/>
      <c r="V181" s="556"/>
      <c r="W181" s="556"/>
      <c r="X181" s="556"/>
      <c r="Y181" s="556"/>
      <c r="Z181" s="556"/>
      <c r="AA181" s="556"/>
      <c r="AB181" s="556"/>
      <c r="AC181" s="556"/>
      <c r="AD181" s="556"/>
      <c r="AE181" s="556"/>
      <c r="AF181" s="556"/>
      <c r="AG181" s="556"/>
      <c r="AH181" s="556"/>
      <c r="AI181" s="556"/>
      <c r="AJ181" s="556"/>
      <c r="AK181" s="556"/>
      <c r="AL181" s="556"/>
      <c r="AM181" s="556"/>
      <c r="AN181" s="556"/>
      <c r="AO181" s="556"/>
      <c r="AP181" s="556"/>
      <c r="AQ181" s="556"/>
      <c r="AR181" s="556"/>
      <c r="AS181" s="556"/>
      <c r="AT181" s="556"/>
      <c r="AU181" s="556"/>
      <c r="AV181" s="556"/>
      <c r="AW181" s="556"/>
      <c r="AX181" s="548"/>
      <c r="AY181" s="548"/>
      <c r="AZ181" s="548"/>
    </row>
    <row r="182" spans="1:52" ht="15" hidden="1" outlineLevel="1" x14ac:dyDescent="0.25">
      <c r="A182" s="540" t="str">
        <f t="shared" si="38"/>
        <v>2</v>
      </c>
      <c r="B182" s="577" t="s">
        <v>701</v>
      </c>
      <c r="C182" s="550"/>
      <c r="D182" s="550" t="s">
        <v>702</v>
      </c>
      <c r="L182" s="551" t="s">
        <v>703</v>
      </c>
      <c r="M182" s="560" t="s">
        <v>704</v>
      </c>
      <c r="N182" s="553" t="s">
        <v>123</v>
      </c>
      <c r="O182" s="566">
        <v>0</v>
      </c>
      <c r="P182" s="566"/>
      <c r="Q182" s="566"/>
      <c r="R182" s="562">
        <v>0</v>
      </c>
      <c r="S182" s="566">
        <v>0</v>
      </c>
      <c r="T182" s="556"/>
      <c r="U182" s="556"/>
      <c r="V182" s="556"/>
      <c r="W182" s="556"/>
      <c r="X182" s="556"/>
      <c r="Y182" s="556"/>
      <c r="Z182" s="556"/>
      <c r="AA182" s="556"/>
      <c r="AB182" s="556"/>
      <c r="AC182" s="556"/>
      <c r="AD182" s="556"/>
      <c r="AE182" s="556"/>
      <c r="AF182" s="556"/>
      <c r="AG182" s="556"/>
      <c r="AH182" s="556"/>
      <c r="AI182" s="556"/>
      <c r="AJ182" s="556"/>
      <c r="AK182" s="556"/>
      <c r="AL182" s="556"/>
      <c r="AM182" s="556"/>
      <c r="AN182" s="556"/>
      <c r="AO182" s="556"/>
      <c r="AP182" s="556"/>
      <c r="AQ182" s="556"/>
      <c r="AR182" s="556"/>
      <c r="AS182" s="556"/>
      <c r="AT182" s="556"/>
      <c r="AU182" s="556"/>
      <c r="AV182" s="556"/>
      <c r="AW182" s="556"/>
      <c r="AX182" s="548"/>
      <c r="AY182" s="548"/>
      <c r="AZ182" s="548"/>
    </row>
    <row r="183" spans="1:52" ht="15" hidden="1" outlineLevel="1" x14ac:dyDescent="0.25">
      <c r="A183" s="540" t="str">
        <f t="shared" si="38"/>
        <v>2</v>
      </c>
      <c r="B183" s="577" t="s">
        <v>705</v>
      </c>
      <c r="C183" s="550"/>
      <c r="D183" s="550" t="s">
        <v>706</v>
      </c>
      <c r="L183" s="551" t="s">
        <v>707</v>
      </c>
      <c r="M183" s="560" t="s">
        <v>708</v>
      </c>
      <c r="N183" s="553" t="s">
        <v>123</v>
      </c>
      <c r="O183" s="566">
        <v>0</v>
      </c>
      <c r="P183" s="566"/>
      <c r="Q183" s="566"/>
      <c r="R183" s="562">
        <v>0</v>
      </c>
      <c r="S183" s="566">
        <v>0</v>
      </c>
      <c r="T183" s="556"/>
      <c r="U183" s="556"/>
      <c r="V183" s="556"/>
      <c r="W183" s="556"/>
      <c r="X183" s="556"/>
      <c r="Y183" s="556"/>
      <c r="Z183" s="556"/>
      <c r="AA183" s="556"/>
      <c r="AB183" s="556"/>
      <c r="AC183" s="556"/>
      <c r="AD183" s="556"/>
      <c r="AE183" s="556"/>
      <c r="AF183" s="556"/>
      <c r="AG183" s="556"/>
      <c r="AH183" s="556"/>
      <c r="AI183" s="556"/>
      <c r="AJ183" s="556"/>
      <c r="AK183" s="556"/>
      <c r="AL183" s="556"/>
      <c r="AM183" s="556"/>
      <c r="AN183" s="556"/>
      <c r="AO183" s="556"/>
      <c r="AP183" s="556"/>
      <c r="AQ183" s="556"/>
      <c r="AR183" s="556"/>
      <c r="AS183" s="556"/>
      <c r="AT183" s="556"/>
      <c r="AU183" s="556"/>
      <c r="AV183" s="556"/>
      <c r="AW183" s="556"/>
      <c r="AX183" s="548"/>
      <c r="AY183" s="548"/>
      <c r="AZ183" s="548"/>
    </row>
    <row r="184" spans="1:52" ht="15" hidden="1" outlineLevel="1" x14ac:dyDescent="0.25">
      <c r="A184" s="540" t="str">
        <f t="shared" si="38"/>
        <v>2</v>
      </c>
      <c r="B184" s="577" t="s">
        <v>709</v>
      </c>
      <c r="C184" s="550"/>
      <c r="D184" s="550" t="s">
        <v>710</v>
      </c>
      <c r="L184" s="551" t="s">
        <v>711</v>
      </c>
      <c r="M184" s="560" t="s">
        <v>712</v>
      </c>
      <c r="N184" s="553" t="s">
        <v>123</v>
      </c>
      <c r="O184" s="562">
        <v>0</v>
      </c>
      <c r="P184" s="562">
        <v>61.230000000000004</v>
      </c>
      <c r="Q184" s="562">
        <v>0</v>
      </c>
      <c r="R184" s="562">
        <v>-61.230000000000004</v>
      </c>
      <c r="S184" s="562">
        <v>0</v>
      </c>
      <c r="T184" s="556"/>
      <c r="U184" s="556"/>
      <c r="V184" s="556"/>
      <c r="W184" s="556"/>
      <c r="X184" s="556"/>
      <c r="Y184" s="556"/>
      <c r="Z184" s="556"/>
      <c r="AA184" s="556"/>
      <c r="AB184" s="556"/>
      <c r="AC184" s="556"/>
      <c r="AD184" s="556"/>
      <c r="AE184" s="556"/>
      <c r="AF184" s="556"/>
      <c r="AG184" s="556"/>
      <c r="AH184" s="556"/>
      <c r="AI184" s="556"/>
      <c r="AJ184" s="556"/>
      <c r="AK184" s="556"/>
      <c r="AL184" s="556"/>
      <c r="AM184" s="556"/>
      <c r="AN184" s="556"/>
      <c r="AO184" s="556"/>
      <c r="AP184" s="556"/>
      <c r="AQ184" s="556"/>
      <c r="AR184" s="556"/>
      <c r="AS184" s="556"/>
      <c r="AT184" s="556"/>
      <c r="AU184" s="556"/>
      <c r="AV184" s="556"/>
      <c r="AW184" s="556"/>
      <c r="AX184" s="548"/>
      <c r="AY184" s="548"/>
      <c r="AZ184" s="548"/>
    </row>
    <row r="185" spans="1:52" ht="15" hidden="1" outlineLevel="1" x14ac:dyDescent="0.25">
      <c r="A185" s="540" t="str">
        <f t="shared" si="38"/>
        <v>2</v>
      </c>
      <c r="B185" s="577" t="s">
        <v>713</v>
      </c>
      <c r="C185" s="550"/>
      <c r="D185" s="550" t="s">
        <v>714</v>
      </c>
      <c r="L185" s="551" t="s">
        <v>715</v>
      </c>
      <c r="M185" s="567" t="s">
        <v>716</v>
      </c>
      <c r="N185" s="553" t="s">
        <v>123</v>
      </c>
      <c r="O185" s="566">
        <v>0</v>
      </c>
      <c r="P185" s="566">
        <v>9.48</v>
      </c>
      <c r="Q185" s="566"/>
      <c r="R185" s="562">
        <v>-9.48</v>
      </c>
      <c r="S185" s="566">
        <v>0</v>
      </c>
      <c r="T185" s="556"/>
      <c r="U185" s="556"/>
      <c r="V185" s="556"/>
      <c r="W185" s="556"/>
      <c r="X185" s="556"/>
      <c r="Y185" s="556"/>
      <c r="Z185" s="556"/>
      <c r="AA185" s="556"/>
      <c r="AB185" s="556"/>
      <c r="AC185" s="556"/>
      <c r="AD185" s="556"/>
      <c r="AE185" s="556"/>
      <c r="AF185" s="556"/>
      <c r="AG185" s="556"/>
      <c r="AH185" s="556"/>
      <c r="AI185" s="556"/>
      <c r="AJ185" s="556"/>
      <c r="AK185" s="556"/>
      <c r="AL185" s="556"/>
      <c r="AM185" s="556"/>
      <c r="AN185" s="556"/>
      <c r="AO185" s="556"/>
      <c r="AP185" s="556"/>
      <c r="AQ185" s="556"/>
      <c r="AR185" s="556"/>
      <c r="AS185" s="556"/>
      <c r="AT185" s="556"/>
      <c r="AU185" s="556"/>
      <c r="AV185" s="556"/>
      <c r="AW185" s="556"/>
      <c r="AX185" s="548"/>
      <c r="AY185" s="548"/>
      <c r="AZ185" s="548"/>
    </row>
    <row r="186" spans="1:52" ht="15" hidden="1" outlineLevel="1" x14ac:dyDescent="0.25">
      <c r="A186" s="540" t="str">
        <f t="shared" si="38"/>
        <v>2</v>
      </c>
      <c r="B186" s="577" t="s">
        <v>717</v>
      </c>
      <c r="C186" s="550"/>
      <c r="D186" s="550" t="s">
        <v>718</v>
      </c>
      <c r="L186" s="551" t="s">
        <v>719</v>
      </c>
      <c r="M186" s="567" t="s">
        <v>720</v>
      </c>
      <c r="N186" s="553" t="s">
        <v>123</v>
      </c>
      <c r="O186" s="566">
        <v>0</v>
      </c>
      <c r="P186" s="566"/>
      <c r="Q186" s="566"/>
      <c r="R186" s="562">
        <v>0</v>
      </c>
      <c r="S186" s="566">
        <v>0</v>
      </c>
      <c r="T186" s="556"/>
      <c r="U186" s="556"/>
      <c r="V186" s="556"/>
      <c r="W186" s="556"/>
      <c r="X186" s="556"/>
      <c r="Y186" s="556"/>
      <c r="Z186" s="556"/>
      <c r="AA186" s="556"/>
      <c r="AB186" s="556"/>
      <c r="AC186" s="556"/>
      <c r="AD186" s="556"/>
      <c r="AE186" s="556"/>
      <c r="AF186" s="556"/>
      <c r="AG186" s="556"/>
      <c r="AH186" s="556"/>
      <c r="AI186" s="556"/>
      <c r="AJ186" s="556"/>
      <c r="AK186" s="556"/>
      <c r="AL186" s="556"/>
      <c r="AM186" s="556"/>
      <c r="AN186" s="556"/>
      <c r="AO186" s="556"/>
      <c r="AP186" s="556"/>
      <c r="AQ186" s="556"/>
      <c r="AR186" s="556"/>
      <c r="AS186" s="556"/>
      <c r="AT186" s="556"/>
      <c r="AU186" s="556"/>
      <c r="AV186" s="556"/>
      <c r="AW186" s="556"/>
      <c r="AX186" s="548"/>
      <c r="AY186" s="548"/>
      <c r="AZ186" s="548"/>
    </row>
    <row r="187" spans="1:52" ht="15" hidden="1" outlineLevel="1" x14ac:dyDescent="0.25">
      <c r="A187" s="540" t="str">
        <f t="shared" si="38"/>
        <v>2</v>
      </c>
      <c r="B187" s="520" t="s">
        <v>721</v>
      </c>
      <c r="C187" s="550"/>
      <c r="D187" s="550" t="s">
        <v>722</v>
      </c>
      <c r="L187" s="551" t="s">
        <v>723</v>
      </c>
      <c r="M187" s="564" t="s">
        <v>724</v>
      </c>
      <c r="N187" s="553" t="s">
        <v>123</v>
      </c>
      <c r="O187" s="566">
        <v>0</v>
      </c>
      <c r="P187" s="566">
        <v>51.75</v>
      </c>
      <c r="Q187" s="566"/>
      <c r="R187" s="562">
        <v>-51.75</v>
      </c>
      <c r="S187" s="566">
        <v>0</v>
      </c>
      <c r="T187" s="556"/>
      <c r="U187" s="556"/>
      <c r="V187" s="556"/>
      <c r="W187" s="556"/>
      <c r="X187" s="556"/>
      <c r="Y187" s="556"/>
      <c r="Z187" s="556"/>
      <c r="AA187" s="556"/>
      <c r="AB187" s="556"/>
      <c r="AC187" s="556"/>
      <c r="AD187" s="556"/>
      <c r="AE187" s="556"/>
      <c r="AF187" s="556"/>
      <c r="AG187" s="556"/>
      <c r="AH187" s="556"/>
      <c r="AI187" s="556"/>
      <c r="AJ187" s="556"/>
      <c r="AK187" s="556"/>
      <c r="AL187" s="556"/>
      <c r="AM187" s="556"/>
      <c r="AN187" s="556"/>
      <c r="AO187" s="556"/>
      <c r="AP187" s="556"/>
      <c r="AQ187" s="556"/>
      <c r="AR187" s="556"/>
      <c r="AS187" s="556"/>
      <c r="AT187" s="556"/>
      <c r="AU187" s="556"/>
      <c r="AV187" s="556"/>
      <c r="AW187" s="556"/>
      <c r="AX187" s="548"/>
      <c r="AY187" s="548"/>
      <c r="AZ187" s="548"/>
    </row>
    <row r="188" spans="1:52" ht="22.5" hidden="1" outlineLevel="1" x14ac:dyDescent="0.25">
      <c r="A188" s="540" t="str">
        <f t="shared" si="38"/>
        <v>2</v>
      </c>
      <c r="C188" s="550"/>
      <c r="D188" s="550" t="s">
        <v>725</v>
      </c>
      <c r="L188" s="551" t="s">
        <v>54</v>
      </c>
      <c r="M188" s="552" t="s">
        <v>726</v>
      </c>
      <c r="N188" s="553" t="s">
        <v>123</v>
      </c>
      <c r="O188" s="566">
        <v>0</v>
      </c>
      <c r="P188" s="566"/>
      <c r="Q188" s="566"/>
      <c r="R188" s="562">
        <v>0</v>
      </c>
      <c r="S188" s="566">
        <v>0</v>
      </c>
      <c r="T188" s="556"/>
      <c r="U188" s="556"/>
      <c r="V188" s="556"/>
      <c r="W188" s="556"/>
      <c r="X188" s="556"/>
      <c r="Y188" s="556"/>
      <c r="Z188" s="556"/>
      <c r="AA188" s="556"/>
      <c r="AB188" s="556"/>
      <c r="AC188" s="556"/>
      <c r="AD188" s="556"/>
      <c r="AE188" s="556"/>
      <c r="AF188" s="556"/>
      <c r="AG188" s="556"/>
      <c r="AH188" s="556"/>
      <c r="AI188" s="556"/>
      <c r="AJ188" s="556"/>
      <c r="AK188" s="556"/>
      <c r="AL188" s="556"/>
      <c r="AM188" s="556"/>
      <c r="AN188" s="556"/>
      <c r="AO188" s="556"/>
      <c r="AP188" s="556"/>
      <c r="AQ188" s="556"/>
      <c r="AR188" s="556"/>
      <c r="AS188" s="556"/>
      <c r="AT188" s="556"/>
      <c r="AU188" s="556"/>
      <c r="AV188" s="556"/>
      <c r="AW188" s="556"/>
      <c r="AX188" s="548"/>
      <c r="AY188" s="548"/>
      <c r="AZ188" s="548"/>
    </row>
    <row r="189" spans="1:52" ht="11.25" hidden="1" outlineLevel="1" x14ac:dyDescent="0.25">
      <c r="A189" s="540" t="str">
        <f t="shared" si="38"/>
        <v>2</v>
      </c>
      <c r="C189" s="550"/>
      <c r="D189" s="550" t="s">
        <v>727</v>
      </c>
      <c r="L189" s="551" t="s">
        <v>56</v>
      </c>
      <c r="M189" s="552" t="s">
        <v>728</v>
      </c>
      <c r="N189" s="553" t="s">
        <v>123</v>
      </c>
      <c r="O189" s="566">
        <v>0</v>
      </c>
      <c r="P189" s="566"/>
      <c r="Q189" s="566"/>
      <c r="R189" s="562">
        <v>0</v>
      </c>
      <c r="S189" s="566">
        <v>0</v>
      </c>
      <c r="T189" s="556"/>
      <c r="U189" s="556"/>
      <c r="V189" s="556"/>
      <c r="W189" s="556"/>
      <c r="X189" s="556"/>
      <c r="Y189" s="556"/>
      <c r="Z189" s="556"/>
      <c r="AA189" s="556"/>
      <c r="AB189" s="556"/>
      <c r="AC189" s="556"/>
      <c r="AD189" s="556"/>
      <c r="AE189" s="556"/>
      <c r="AF189" s="556"/>
      <c r="AG189" s="556"/>
      <c r="AH189" s="556"/>
      <c r="AI189" s="556"/>
      <c r="AJ189" s="556"/>
      <c r="AK189" s="556"/>
      <c r="AL189" s="556"/>
      <c r="AM189" s="556"/>
      <c r="AN189" s="556"/>
      <c r="AO189" s="556"/>
      <c r="AP189" s="556"/>
      <c r="AQ189" s="556"/>
      <c r="AR189" s="556"/>
      <c r="AS189" s="556"/>
      <c r="AT189" s="556"/>
      <c r="AU189" s="556"/>
      <c r="AV189" s="556"/>
      <c r="AW189" s="556"/>
      <c r="AX189" s="548"/>
      <c r="AY189" s="548"/>
      <c r="AZ189" s="548"/>
    </row>
    <row r="190" spans="1:52" s="572" customFormat="1" ht="11.25" hidden="1" outlineLevel="1" x14ac:dyDescent="0.25">
      <c r="A190" s="540" t="str">
        <f t="shared" si="38"/>
        <v>2</v>
      </c>
      <c r="C190" s="550"/>
      <c r="D190" s="550" t="s">
        <v>729</v>
      </c>
      <c r="L190" s="573" t="s">
        <v>68</v>
      </c>
      <c r="M190" s="574" t="s">
        <v>730</v>
      </c>
      <c r="N190" s="575" t="s">
        <v>123</v>
      </c>
      <c r="O190" s="576">
        <v>0</v>
      </c>
      <c r="P190" s="576">
        <v>0</v>
      </c>
      <c r="Q190" s="576">
        <v>0</v>
      </c>
      <c r="R190" s="546">
        <v>0</v>
      </c>
      <c r="S190" s="576">
        <v>0</v>
      </c>
      <c r="T190" s="556"/>
      <c r="U190" s="558"/>
      <c r="V190" s="558"/>
      <c r="W190" s="558"/>
      <c r="X190" s="558"/>
      <c r="Y190" s="558"/>
      <c r="Z190" s="558"/>
      <c r="AA190" s="558"/>
      <c r="AB190" s="558"/>
      <c r="AC190" s="558"/>
      <c r="AD190" s="556"/>
      <c r="AE190" s="556"/>
      <c r="AF190" s="558"/>
      <c r="AG190" s="558"/>
      <c r="AH190" s="558"/>
      <c r="AI190" s="558"/>
      <c r="AJ190" s="558"/>
      <c r="AK190" s="558"/>
      <c r="AL190" s="558"/>
      <c r="AM190" s="558"/>
      <c r="AN190" s="558"/>
      <c r="AO190" s="558"/>
      <c r="AP190" s="558"/>
      <c r="AQ190" s="558"/>
      <c r="AR190" s="558"/>
      <c r="AS190" s="558"/>
      <c r="AT190" s="558"/>
      <c r="AU190" s="558"/>
      <c r="AV190" s="558"/>
      <c r="AW190" s="558"/>
      <c r="AX190" s="559"/>
      <c r="AY190" s="559"/>
      <c r="AZ190" s="559"/>
    </row>
    <row r="191" spans="1:52" ht="11.25" hidden="1" outlineLevel="1" x14ac:dyDescent="0.25">
      <c r="A191" s="540" t="str">
        <f t="shared" si="38"/>
        <v>2</v>
      </c>
      <c r="L191" s="551" t="s">
        <v>731</v>
      </c>
      <c r="M191" s="552"/>
      <c r="N191" s="553"/>
      <c r="O191" s="566"/>
      <c r="P191" s="556"/>
      <c r="Q191" s="556"/>
      <c r="R191" s="556"/>
      <c r="S191" s="566"/>
      <c r="T191" s="556"/>
      <c r="U191" s="556"/>
      <c r="V191" s="556"/>
      <c r="W191" s="556"/>
      <c r="X191" s="556"/>
      <c r="Y191" s="556"/>
      <c r="Z191" s="556"/>
      <c r="AA191" s="556"/>
      <c r="AB191" s="556"/>
      <c r="AC191" s="556"/>
      <c r="AD191" s="556"/>
      <c r="AE191" s="556"/>
      <c r="AF191" s="556"/>
      <c r="AG191" s="556"/>
      <c r="AH191" s="556"/>
      <c r="AI191" s="556"/>
      <c r="AJ191" s="556"/>
      <c r="AK191" s="556"/>
      <c r="AL191" s="556"/>
      <c r="AM191" s="556"/>
      <c r="AN191" s="556"/>
      <c r="AO191" s="556"/>
      <c r="AP191" s="556"/>
      <c r="AQ191" s="556"/>
      <c r="AR191" s="556"/>
      <c r="AS191" s="556"/>
      <c r="AT191" s="556"/>
      <c r="AU191" s="556"/>
      <c r="AV191" s="556"/>
      <c r="AW191" s="556"/>
      <c r="AX191" s="579"/>
      <c r="AY191" s="579"/>
      <c r="AZ191" s="579"/>
    </row>
    <row r="192" spans="1:52" ht="15" hidden="1" outlineLevel="1" x14ac:dyDescent="0.25">
      <c r="A192" s="540" t="str">
        <f t="shared" si="38"/>
        <v>2</v>
      </c>
      <c r="B192" s="580"/>
      <c r="D192" s="520" t="str">
        <f>A192&amp;"pIns1"</f>
        <v>2pIns1</v>
      </c>
      <c r="L192" s="581"/>
      <c r="M192" s="582" t="s">
        <v>732</v>
      </c>
      <c r="N192" s="583"/>
      <c r="O192" s="583"/>
      <c r="P192" s="583"/>
      <c r="Q192" s="583"/>
      <c r="R192" s="583"/>
      <c r="S192" s="583"/>
      <c r="T192" s="583"/>
      <c r="U192" s="583"/>
      <c r="V192" s="583"/>
      <c r="W192" s="583"/>
      <c r="X192" s="583"/>
      <c r="Y192" s="583"/>
      <c r="Z192" s="583"/>
      <c r="AA192" s="583"/>
      <c r="AB192" s="583"/>
      <c r="AC192" s="583"/>
      <c r="AD192" s="583"/>
      <c r="AE192" s="583"/>
      <c r="AF192" s="583"/>
      <c r="AG192" s="583"/>
      <c r="AH192" s="583"/>
      <c r="AI192" s="583"/>
      <c r="AJ192" s="583"/>
      <c r="AK192" s="583"/>
      <c r="AL192" s="583"/>
      <c r="AM192" s="583"/>
      <c r="AN192" s="583"/>
      <c r="AO192" s="583"/>
      <c r="AP192" s="583"/>
      <c r="AQ192" s="583"/>
      <c r="AR192" s="583"/>
      <c r="AS192" s="583"/>
      <c r="AT192" s="583"/>
      <c r="AU192" s="583"/>
      <c r="AV192" s="583"/>
      <c r="AW192" s="583"/>
      <c r="AX192" s="583"/>
      <c r="AY192" s="583"/>
      <c r="AZ192" s="584"/>
    </row>
    <row r="193" spans="1:53" s="572" customFormat="1" ht="11.25" outlineLevel="1" x14ac:dyDescent="0.25">
      <c r="A193" s="540" t="str">
        <f t="shared" si="38"/>
        <v>2</v>
      </c>
      <c r="C193" s="520"/>
      <c r="D193" s="520" t="s">
        <v>733</v>
      </c>
      <c r="L193" s="543" t="s">
        <v>108</v>
      </c>
      <c r="M193" s="544" t="s">
        <v>138</v>
      </c>
      <c r="N193" s="545" t="s">
        <v>123</v>
      </c>
      <c r="O193" s="576">
        <v>11.44</v>
      </c>
      <c r="P193" s="576">
        <v>0</v>
      </c>
      <c r="Q193" s="576">
        <v>0</v>
      </c>
      <c r="R193" s="546">
        <v>0</v>
      </c>
      <c r="S193" s="576">
        <v>15.97</v>
      </c>
      <c r="T193" s="576">
        <v>18.84</v>
      </c>
      <c r="U193" s="576">
        <v>0</v>
      </c>
      <c r="V193" s="576">
        <v>0</v>
      </c>
      <c r="W193" s="576">
        <v>0</v>
      </c>
      <c r="X193" s="576">
        <v>0</v>
      </c>
      <c r="Y193" s="576">
        <v>0</v>
      </c>
      <c r="Z193" s="576">
        <v>0</v>
      </c>
      <c r="AA193" s="576">
        <v>0</v>
      </c>
      <c r="AB193" s="576">
        <v>0</v>
      </c>
      <c r="AC193" s="576">
        <v>0</v>
      </c>
      <c r="AD193" s="576">
        <v>18.84</v>
      </c>
      <c r="AE193" s="576" t="e">
        <f t="shared" ref="AE193:AM193" si="39">AE194+AE205+AE206++AE216+AE217+AE218+AE220+AE221+AE222+AE223+AE226</f>
        <v>#VALUE!</v>
      </c>
      <c r="AF193" s="576" t="e">
        <f t="shared" si="39"/>
        <v>#VALUE!</v>
      </c>
      <c r="AG193" s="576" t="e">
        <f t="shared" si="39"/>
        <v>#VALUE!</v>
      </c>
      <c r="AH193" s="576" t="e">
        <f t="shared" si="39"/>
        <v>#VALUE!</v>
      </c>
      <c r="AI193" s="576" t="e">
        <f t="shared" si="39"/>
        <v>#VALUE!</v>
      </c>
      <c r="AJ193" s="576" t="e">
        <f t="shared" si="39"/>
        <v>#VALUE!</v>
      </c>
      <c r="AK193" s="576" t="e">
        <f t="shared" si="39"/>
        <v>#VALUE!</v>
      </c>
      <c r="AL193" s="576" t="e">
        <f t="shared" si="39"/>
        <v>#VALUE!</v>
      </c>
      <c r="AM193" s="576" t="e">
        <f t="shared" si="39"/>
        <v>#VALUE!</v>
      </c>
      <c r="AN193" s="546">
        <f>IF(S193=0,0,(AD193-S193)/S193*100)</f>
        <v>17.971195992485907</v>
      </c>
      <c r="AO193" s="546" t="e">
        <f t="shared" ref="AO193:AW208" si="40">IF(AD193=0,0,(AE193-AD193)/AD193*100)</f>
        <v>#VALUE!</v>
      </c>
      <c r="AP193" s="546" t="e">
        <f t="shared" si="40"/>
        <v>#VALUE!</v>
      </c>
      <c r="AQ193" s="546" t="e">
        <f t="shared" si="40"/>
        <v>#VALUE!</v>
      </c>
      <c r="AR193" s="546" t="e">
        <f t="shared" si="40"/>
        <v>#VALUE!</v>
      </c>
      <c r="AS193" s="546" t="e">
        <f t="shared" si="40"/>
        <v>#VALUE!</v>
      </c>
      <c r="AT193" s="546" t="e">
        <f t="shared" si="40"/>
        <v>#VALUE!</v>
      </c>
      <c r="AU193" s="546" t="e">
        <f t="shared" si="40"/>
        <v>#VALUE!</v>
      </c>
      <c r="AV193" s="546" t="e">
        <f t="shared" si="40"/>
        <v>#VALUE!</v>
      </c>
      <c r="AW193" s="546" t="e">
        <f t="shared" si="40"/>
        <v>#VALUE!</v>
      </c>
      <c r="AX193" s="548"/>
      <c r="AY193" s="548"/>
      <c r="AZ193" s="548"/>
      <c r="BA193" s="549"/>
    </row>
    <row r="194" spans="1:53" s="572" customFormat="1" ht="22.5" outlineLevel="1" x14ac:dyDescent="0.25">
      <c r="A194" s="540" t="str">
        <f t="shared" si="38"/>
        <v>2</v>
      </c>
      <c r="C194" s="520"/>
      <c r="D194" s="520" t="s">
        <v>734</v>
      </c>
      <c r="L194" s="573" t="s">
        <v>370</v>
      </c>
      <c r="M194" s="574" t="s">
        <v>140</v>
      </c>
      <c r="N194" s="575" t="s">
        <v>123</v>
      </c>
      <c r="O194" s="576">
        <v>0</v>
      </c>
      <c r="P194" s="576">
        <v>0</v>
      </c>
      <c r="Q194" s="576">
        <v>0</v>
      </c>
      <c r="R194" s="546">
        <v>0</v>
      </c>
      <c r="S194" s="576">
        <v>0</v>
      </c>
      <c r="T194" s="576">
        <v>0</v>
      </c>
      <c r="U194" s="576">
        <v>0</v>
      </c>
      <c r="V194" s="576">
        <v>0</v>
      </c>
      <c r="W194" s="576">
        <v>0</v>
      </c>
      <c r="X194" s="576">
        <v>0</v>
      </c>
      <c r="Y194" s="576">
        <v>0</v>
      </c>
      <c r="Z194" s="576">
        <v>0</v>
      </c>
      <c r="AA194" s="576">
        <v>0</v>
      </c>
      <c r="AB194" s="576">
        <v>0</v>
      </c>
      <c r="AC194" s="576">
        <v>0</v>
      </c>
      <c r="AD194" s="576">
        <v>0</v>
      </c>
      <c r="AE194" s="576">
        <f t="shared" ref="AE194:AM194" si="41">SUM(AE195:AE204)</f>
        <v>0</v>
      </c>
      <c r="AF194" s="576">
        <f t="shared" si="41"/>
        <v>0</v>
      </c>
      <c r="AG194" s="576">
        <f t="shared" si="41"/>
        <v>0</v>
      </c>
      <c r="AH194" s="576">
        <f t="shared" si="41"/>
        <v>0</v>
      </c>
      <c r="AI194" s="576">
        <f t="shared" si="41"/>
        <v>0</v>
      </c>
      <c r="AJ194" s="576">
        <f t="shared" si="41"/>
        <v>0</v>
      </c>
      <c r="AK194" s="576">
        <f t="shared" si="41"/>
        <v>0</v>
      </c>
      <c r="AL194" s="576">
        <f t="shared" si="41"/>
        <v>0</v>
      </c>
      <c r="AM194" s="576">
        <f t="shared" si="41"/>
        <v>0</v>
      </c>
      <c r="AN194" s="546">
        <f>IF(S194=0,0,(AD194-S194)/S194*100)</f>
        <v>0</v>
      </c>
      <c r="AO194" s="546">
        <f t="shared" si="40"/>
        <v>0</v>
      </c>
      <c r="AP194" s="546">
        <f t="shared" si="40"/>
        <v>0</v>
      </c>
      <c r="AQ194" s="546">
        <f t="shared" si="40"/>
        <v>0</v>
      </c>
      <c r="AR194" s="546">
        <f t="shared" si="40"/>
        <v>0</v>
      </c>
      <c r="AS194" s="546">
        <f t="shared" si="40"/>
        <v>0</v>
      </c>
      <c r="AT194" s="546">
        <f t="shared" si="40"/>
        <v>0</v>
      </c>
      <c r="AU194" s="546">
        <f t="shared" si="40"/>
        <v>0</v>
      </c>
      <c r="AV194" s="546">
        <f t="shared" si="40"/>
        <v>0</v>
      </c>
      <c r="AW194" s="546">
        <f t="shared" si="40"/>
        <v>0</v>
      </c>
      <c r="AX194" s="559"/>
      <c r="AY194" s="559"/>
      <c r="AZ194" s="559"/>
    </row>
    <row r="195" spans="1:53" ht="11.25" hidden="1" outlineLevel="1" x14ac:dyDescent="0.25">
      <c r="A195" s="540" t="str">
        <f t="shared" si="38"/>
        <v>2</v>
      </c>
      <c r="B195" s="520" t="s">
        <v>735</v>
      </c>
      <c r="D195" s="520" t="s">
        <v>736</v>
      </c>
      <c r="L195" s="551" t="s">
        <v>737</v>
      </c>
      <c r="M195" s="560" t="s">
        <v>738</v>
      </c>
      <c r="N195" s="553" t="s">
        <v>123</v>
      </c>
      <c r="O195" s="562">
        <v>0</v>
      </c>
      <c r="P195" s="562">
        <v>0</v>
      </c>
      <c r="Q195" s="562">
        <v>0</v>
      </c>
      <c r="R195" s="562">
        <v>0</v>
      </c>
      <c r="S195" s="562">
        <v>0</v>
      </c>
      <c r="T195" s="562">
        <v>0</v>
      </c>
      <c r="U195" s="562">
        <v>0</v>
      </c>
      <c r="V195" s="562">
        <v>0</v>
      </c>
      <c r="W195" s="562">
        <v>0</v>
      </c>
      <c r="X195" s="562">
        <v>0</v>
      </c>
      <c r="Y195" s="562">
        <v>0</v>
      </c>
      <c r="Z195" s="562">
        <v>0</v>
      </c>
      <c r="AA195" s="562">
        <v>0</v>
      </c>
      <c r="AB195" s="562">
        <v>0</v>
      </c>
      <c r="AC195" s="562">
        <v>0</v>
      </c>
      <c r="AD195" s="562">
        <v>0</v>
      </c>
      <c r="AE195" s="562">
        <f>SUMIFS([14]Покупка!AD$15:AD$54,[14]Покупка!$A$15:$A$54,$A195,[14]Покупка!$M$15:$M$54,$B195)</f>
        <v>0</v>
      </c>
      <c r="AF195" s="562">
        <f>SUMIFS([14]Покупка!AE$15:AE$54,[14]Покупка!$A$15:$A$54,$A195,[14]Покупка!$M$15:$M$54,$B195)</f>
        <v>0</v>
      </c>
      <c r="AG195" s="562">
        <f>SUMIFS([14]Покупка!AF$15:AF$54,[14]Покупка!$A$15:$A$54,$A195,[14]Покупка!$M$15:$M$54,$B195)</f>
        <v>0</v>
      </c>
      <c r="AH195" s="562">
        <f>SUMIFS([14]Покупка!AG$15:AG$54,[14]Покупка!$A$15:$A$54,$A195,[14]Покупка!$M$15:$M$54,$B195)</f>
        <v>0</v>
      </c>
      <c r="AI195" s="562">
        <f>SUMIFS([14]Покупка!AH$15:AH$54,[14]Покупка!$A$15:$A$54,$A195,[14]Покупка!$M$15:$M$54,$B195)</f>
        <v>0</v>
      </c>
      <c r="AJ195" s="562">
        <f>SUMIFS([14]Покупка!AI$15:AI$54,[14]Покупка!$A$15:$A$54,$A195,[14]Покупка!$M$15:$M$54,$B195)</f>
        <v>0</v>
      </c>
      <c r="AK195" s="562">
        <f>SUMIFS([14]Покупка!AJ$15:AJ$54,[14]Покупка!$A$15:$A$54,$A195,[14]Покупка!$M$15:$M$54,$B195)</f>
        <v>0</v>
      </c>
      <c r="AL195" s="562">
        <f>SUMIFS([14]Покупка!AK$15:AK$54,[14]Покупка!$A$15:$A$54,$A195,[14]Покупка!$M$15:$M$54,$B195)</f>
        <v>0</v>
      </c>
      <c r="AM195" s="562">
        <f>SUMIFS([14]Покупка!AL$15:AL$54,[14]Покупка!$A$15:$A$54,$A195,[14]Покупка!$M$15:$M$54,$B195)</f>
        <v>0</v>
      </c>
      <c r="AN195" s="562">
        <f t="shared" ref="AN195:AN236" si="42">IF(S195=0,0,(AD195-S195)/S195*100)</f>
        <v>0</v>
      </c>
      <c r="AO195" s="562">
        <f t="shared" si="40"/>
        <v>0</v>
      </c>
      <c r="AP195" s="562">
        <f t="shared" si="40"/>
        <v>0</v>
      </c>
      <c r="AQ195" s="562">
        <f t="shared" si="40"/>
        <v>0</v>
      </c>
      <c r="AR195" s="562">
        <f t="shared" si="40"/>
        <v>0</v>
      </c>
      <c r="AS195" s="562">
        <f t="shared" si="40"/>
        <v>0</v>
      </c>
      <c r="AT195" s="562">
        <f t="shared" si="40"/>
        <v>0</v>
      </c>
      <c r="AU195" s="562">
        <f t="shared" si="40"/>
        <v>0</v>
      </c>
      <c r="AV195" s="562">
        <f t="shared" si="40"/>
        <v>0</v>
      </c>
      <c r="AW195" s="562">
        <f t="shared" si="40"/>
        <v>0</v>
      </c>
      <c r="AX195" s="548"/>
      <c r="AY195" s="548"/>
      <c r="AZ195" s="548"/>
    </row>
    <row r="196" spans="1:53" ht="11.25" hidden="1" outlineLevel="1" x14ac:dyDescent="0.25">
      <c r="A196" s="540" t="str">
        <f t="shared" si="38"/>
        <v>2</v>
      </c>
      <c r="B196" s="520" t="s">
        <v>739</v>
      </c>
      <c r="D196" s="520" t="s">
        <v>740</v>
      </c>
      <c r="L196" s="551" t="s">
        <v>741</v>
      </c>
      <c r="M196" s="560" t="s">
        <v>742</v>
      </c>
      <c r="N196" s="553" t="s">
        <v>123</v>
      </c>
      <c r="O196" s="562">
        <v>0</v>
      </c>
      <c r="P196" s="562">
        <v>0</v>
      </c>
      <c r="Q196" s="562">
        <v>0</v>
      </c>
      <c r="R196" s="562">
        <v>0</v>
      </c>
      <c r="S196" s="562">
        <v>0</v>
      </c>
      <c r="T196" s="562">
        <v>0</v>
      </c>
      <c r="U196" s="562">
        <v>0</v>
      </c>
      <c r="V196" s="562">
        <v>0</v>
      </c>
      <c r="W196" s="562">
        <v>0</v>
      </c>
      <c r="X196" s="562">
        <v>0</v>
      </c>
      <c r="Y196" s="562">
        <v>0</v>
      </c>
      <c r="Z196" s="562">
        <v>0</v>
      </c>
      <c r="AA196" s="562">
        <v>0</v>
      </c>
      <c r="AB196" s="562">
        <v>0</v>
      </c>
      <c r="AC196" s="562">
        <v>0</v>
      </c>
      <c r="AD196" s="562">
        <v>0</v>
      </c>
      <c r="AE196" s="562">
        <f>SUMIFS([14]Покупка!AD$15:AD$54,[14]Покупка!$A$15:$A$54,$A196,[14]Покупка!$M$15:$M$54,$B196)</f>
        <v>0</v>
      </c>
      <c r="AF196" s="562">
        <f>SUMIFS([14]Покупка!AE$15:AE$54,[14]Покупка!$A$15:$A$54,$A196,[14]Покупка!$M$15:$M$54,$B196)</f>
        <v>0</v>
      </c>
      <c r="AG196" s="562">
        <f>SUMIFS([14]Покупка!AF$15:AF$54,[14]Покупка!$A$15:$A$54,$A196,[14]Покупка!$M$15:$M$54,$B196)</f>
        <v>0</v>
      </c>
      <c r="AH196" s="562">
        <f>SUMIFS([14]Покупка!AG$15:AG$54,[14]Покупка!$A$15:$A$54,$A196,[14]Покупка!$M$15:$M$54,$B196)</f>
        <v>0</v>
      </c>
      <c r="AI196" s="562">
        <f>SUMIFS([14]Покупка!AH$15:AH$54,[14]Покупка!$A$15:$A$54,$A196,[14]Покупка!$M$15:$M$54,$B196)</f>
        <v>0</v>
      </c>
      <c r="AJ196" s="562">
        <f>SUMIFS([14]Покупка!AI$15:AI$54,[14]Покупка!$A$15:$A$54,$A196,[14]Покупка!$M$15:$M$54,$B196)</f>
        <v>0</v>
      </c>
      <c r="AK196" s="562">
        <f>SUMIFS([14]Покупка!AJ$15:AJ$54,[14]Покупка!$A$15:$A$54,$A196,[14]Покупка!$M$15:$M$54,$B196)</f>
        <v>0</v>
      </c>
      <c r="AL196" s="562">
        <f>SUMIFS([14]Покупка!AK$15:AK$54,[14]Покупка!$A$15:$A$54,$A196,[14]Покупка!$M$15:$M$54,$B196)</f>
        <v>0</v>
      </c>
      <c r="AM196" s="562">
        <f>SUMIFS([14]Покупка!AL$15:AL$54,[14]Покупка!$A$15:$A$54,$A196,[14]Покупка!$M$15:$M$54,$B196)</f>
        <v>0</v>
      </c>
      <c r="AN196" s="562">
        <f t="shared" si="42"/>
        <v>0</v>
      </c>
      <c r="AO196" s="562">
        <f t="shared" si="40"/>
        <v>0</v>
      </c>
      <c r="AP196" s="562">
        <f t="shared" si="40"/>
        <v>0</v>
      </c>
      <c r="AQ196" s="562">
        <f t="shared" si="40"/>
        <v>0</v>
      </c>
      <c r="AR196" s="562">
        <f t="shared" si="40"/>
        <v>0</v>
      </c>
      <c r="AS196" s="562">
        <f t="shared" si="40"/>
        <v>0</v>
      </c>
      <c r="AT196" s="562">
        <f t="shared" si="40"/>
        <v>0</v>
      </c>
      <c r="AU196" s="562">
        <f t="shared" si="40"/>
        <v>0</v>
      </c>
      <c r="AV196" s="562">
        <f t="shared" si="40"/>
        <v>0</v>
      </c>
      <c r="AW196" s="562">
        <f t="shared" si="40"/>
        <v>0</v>
      </c>
      <c r="AX196" s="548"/>
      <c r="AY196" s="548"/>
      <c r="AZ196" s="548"/>
    </row>
    <row r="197" spans="1:53" ht="11.25" hidden="1" outlineLevel="1" x14ac:dyDescent="0.25">
      <c r="A197" s="540" t="str">
        <f t="shared" si="38"/>
        <v>2</v>
      </c>
      <c r="B197" s="520" t="s">
        <v>743</v>
      </c>
      <c r="D197" s="520" t="s">
        <v>744</v>
      </c>
      <c r="L197" s="551" t="s">
        <v>745</v>
      </c>
      <c r="M197" s="560" t="s">
        <v>746</v>
      </c>
      <c r="N197" s="553" t="s">
        <v>123</v>
      </c>
      <c r="O197" s="562">
        <v>0</v>
      </c>
      <c r="P197" s="562">
        <v>0</v>
      </c>
      <c r="Q197" s="562">
        <v>0</v>
      </c>
      <c r="R197" s="562">
        <v>0</v>
      </c>
      <c r="S197" s="562">
        <v>0</v>
      </c>
      <c r="T197" s="562">
        <v>0</v>
      </c>
      <c r="U197" s="562">
        <v>0</v>
      </c>
      <c r="V197" s="562">
        <v>0</v>
      </c>
      <c r="W197" s="562">
        <v>0</v>
      </c>
      <c r="X197" s="562">
        <v>0</v>
      </c>
      <c r="Y197" s="562">
        <v>0</v>
      </c>
      <c r="Z197" s="562">
        <v>0</v>
      </c>
      <c r="AA197" s="562">
        <v>0</v>
      </c>
      <c r="AB197" s="562">
        <v>0</v>
      </c>
      <c r="AC197" s="562">
        <v>0</v>
      </c>
      <c r="AD197" s="562">
        <v>0</v>
      </c>
      <c r="AE197" s="562">
        <f>SUMIFS([14]Покупка!AD$15:AD$54,[14]Покупка!$A$15:$A$54,$A197,[14]Покупка!$M$15:$M$54,$B197)</f>
        <v>0</v>
      </c>
      <c r="AF197" s="562">
        <f>SUMIFS([14]Покупка!AE$15:AE$54,[14]Покупка!$A$15:$A$54,$A197,[14]Покупка!$M$15:$M$54,$B197)</f>
        <v>0</v>
      </c>
      <c r="AG197" s="562">
        <f>SUMIFS([14]Покупка!AF$15:AF$54,[14]Покупка!$A$15:$A$54,$A197,[14]Покупка!$M$15:$M$54,$B197)</f>
        <v>0</v>
      </c>
      <c r="AH197" s="562">
        <f>SUMIFS([14]Покупка!AG$15:AG$54,[14]Покупка!$A$15:$A$54,$A197,[14]Покупка!$M$15:$M$54,$B197)</f>
        <v>0</v>
      </c>
      <c r="AI197" s="562">
        <f>SUMIFS([14]Покупка!AH$15:AH$54,[14]Покупка!$A$15:$A$54,$A197,[14]Покупка!$M$15:$M$54,$B197)</f>
        <v>0</v>
      </c>
      <c r="AJ197" s="562">
        <f>SUMIFS([14]Покупка!AI$15:AI$54,[14]Покупка!$A$15:$A$54,$A197,[14]Покупка!$M$15:$M$54,$B197)</f>
        <v>0</v>
      </c>
      <c r="AK197" s="562">
        <f>SUMIFS([14]Покупка!AJ$15:AJ$54,[14]Покупка!$A$15:$A$54,$A197,[14]Покупка!$M$15:$M$54,$B197)</f>
        <v>0</v>
      </c>
      <c r="AL197" s="562">
        <f>SUMIFS([14]Покупка!AK$15:AK$54,[14]Покупка!$A$15:$A$54,$A197,[14]Покупка!$M$15:$M$54,$B197)</f>
        <v>0</v>
      </c>
      <c r="AM197" s="562">
        <f>SUMIFS([14]Покупка!AL$15:AL$54,[14]Покупка!$A$15:$A$54,$A197,[14]Покупка!$M$15:$M$54,$B197)</f>
        <v>0</v>
      </c>
      <c r="AN197" s="562">
        <f t="shared" si="42"/>
        <v>0</v>
      </c>
      <c r="AO197" s="562">
        <f t="shared" si="40"/>
        <v>0</v>
      </c>
      <c r="AP197" s="562">
        <f t="shared" si="40"/>
        <v>0</v>
      </c>
      <c r="AQ197" s="562">
        <f t="shared" si="40"/>
        <v>0</v>
      </c>
      <c r="AR197" s="562">
        <f t="shared" si="40"/>
        <v>0</v>
      </c>
      <c r="AS197" s="562">
        <f t="shared" si="40"/>
        <v>0</v>
      </c>
      <c r="AT197" s="562">
        <f t="shared" si="40"/>
        <v>0</v>
      </c>
      <c r="AU197" s="562">
        <f t="shared" si="40"/>
        <v>0</v>
      </c>
      <c r="AV197" s="562">
        <f t="shared" si="40"/>
        <v>0</v>
      </c>
      <c r="AW197" s="562">
        <f t="shared" si="40"/>
        <v>0</v>
      </c>
      <c r="AX197" s="548"/>
      <c r="AY197" s="548"/>
      <c r="AZ197" s="548"/>
    </row>
    <row r="198" spans="1:53" ht="11.25" hidden="1" outlineLevel="1" x14ac:dyDescent="0.25">
      <c r="A198" s="540" t="str">
        <f t="shared" si="38"/>
        <v>2</v>
      </c>
      <c r="B198" s="520" t="s">
        <v>747</v>
      </c>
      <c r="D198" s="520" t="s">
        <v>748</v>
      </c>
      <c r="L198" s="551" t="s">
        <v>749</v>
      </c>
      <c r="M198" s="560" t="s">
        <v>750</v>
      </c>
      <c r="N198" s="553" t="s">
        <v>123</v>
      </c>
      <c r="O198" s="562">
        <v>0</v>
      </c>
      <c r="P198" s="562">
        <v>0</v>
      </c>
      <c r="Q198" s="562">
        <v>0</v>
      </c>
      <c r="R198" s="562">
        <v>0</v>
      </c>
      <c r="S198" s="562">
        <v>0</v>
      </c>
      <c r="T198" s="562">
        <v>0</v>
      </c>
      <c r="U198" s="562">
        <v>0</v>
      </c>
      <c r="V198" s="562">
        <v>0</v>
      </c>
      <c r="W198" s="562">
        <v>0</v>
      </c>
      <c r="X198" s="562">
        <v>0</v>
      </c>
      <c r="Y198" s="562">
        <v>0</v>
      </c>
      <c r="Z198" s="562">
        <v>0</v>
      </c>
      <c r="AA198" s="562">
        <v>0</v>
      </c>
      <c r="AB198" s="562">
        <v>0</v>
      </c>
      <c r="AC198" s="562">
        <v>0</v>
      </c>
      <c r="AD198" s="562">
        <v>0</v>
      </c>
      <c r="AE198" s="562">
        <f>SUMIFS([14]Покупка!AD$15:AD$54,[14]Покупка!$A$15:$A$54,$A198,[14]Покупка!$M$15:$M$54,$B198)</f>
        <v>0</v>
      </c>
      <c r="AF198" s="562">
        <f>SUMIFS([14]Покупка!AE$15:AE$54,[14]Покупка!$A$15:$A$54,$A198,[14]Покупка!$M$15:$M$54,$B198)</f>
        <v>0</v>
      </c>
      <c r="AG198" s="562">
        <f>SUMIFS([14]Покупка!AF$15:AF$54,[14]Покупка!$A$15:$A$54,$A198,[14]Покупка!$M$15:$M$54,$B198)</f>
        <v>0</v>
      </c>
      <c r="AH198" s="562">
        <f>SUMIFS([14]Покупка!AG$15:AG$54,[14]Покупка!$A$15:$A$54,$A198,[14]Покупка!$M$15:$M$54,$B198)</f>
        <v>0</v>
      </c>
      <c r="AI198" s="562">
        <f>SUMIFS([14]Покупка!AH$15:AH$54,[14]Покупка!$A$15:$A$54,$A198,[14]Покупка!$M$15:$M$54,$B198)</f>
        <v>0</v>
      </c>
      <c r="AJ198" s="562">
        <f>SUMIFS([14]Покупка!AI$15:AI$54,[14]Покупка!$A$15:$A$54,$A198,[14]Покупка!$M$15:$M$54,$B198)</f>
        <v>0</v>
      </c>
      <c r="AK198" s="562">
        <f>SUMIFS([14]Покупка!AJ$15:AJ$54,[14]Покупка!$A$15:$A$54,$A198,[14]Покупка!$M$15:$M$54,$B198)</f>
        <v>0</v>
      </c>
      <c r="AL198" s="562">
        <f>SUMIFS([14]Покупка!AK$15:AK$54,[14]Покупка!$A$15:$A$54,$A198,[14]Покупка!$M$15:$M$54,$B198)</f>
        <v>0</v>
      </c>
      <c r="AM198" s="562">
        <f>SUMIFS([14]Покупка!AL$15:AL$54,[14]Покупка!$A$15:$A$54,$A198,[14]Покупка!$M$15:$M$54,$B198)</f>
        <v>0</v>
      </c>
      <c r="AN198" s="562">
        <f t="shared" si="42"/>
        <v>0</v>
      </c>
      <c r="AO198" s="562">
        <f t="shared" si="40"/>
        <v>0</v>
      </c>
      <c r="AP198" s="562">
        <f t="shared" si="40"/>
        <v>0</v>
      </c>
      <c r="AQ198" s="562">
        <f t="shared" si="40"/>
        <v>0</v>
      </c>
      <c r="AR198" s="562">
        <f t="shared" si="40"/>
        <v>0</v>
      </c>
      <c r="AS198" s="562">
        <f t="shared" si="40"/>
        <v>0</v>
      </c>
      <c r="AT198" s="562">
        <f t="shared" si="40"/>
        <v>0</v>
      </c>
      <c r="AU198" s="562">
        <f t="shared" si="40"/>
        <v>0</v>
      </c>
      <c r="AV198" s="562">
        <f t="shared" si="40"/>
        <v>0</v>
      </c>
      <c r="AW198" s="562">
        <f t="shared" si="40"/>
        <v>0</v>
      </c>
      <c r="AX198" s="548"/>
      <c r="AY198" s="548"/>
      <c r="AZ198" s="548"/>
    </row>
    <row r="199" spans="1:53" ht="11.25" hidden="1" outlineLevel="1" x14ac:dyDescent="0.25">
      <c r="A199" s="540" t="str">
        <f t="shared" si="38"/>
        <v>2</v>
      </c>
      <c r="B199" s="520" t="s">
        <v>751</v>
      </c>
      <c r="D199" s="520" t="s">
        <v>752</v>
      </c>
      <c r="L199" s="551" t="s">
        <v>753</v>
      </c>
      <c r="M199" s="560" t="s">
        <v>154</v>
      </c>
      <c r="N199" s="553" t="s">
        <v>123</v>
      </c>
      <c r="O199" s="562">
        <v>0</v>
      </c>
      <c r="P199" s="562">
        <v>0</v>
      </c>
      <c r="Q199" s="562">
        <v>0</v>
      </c>
      <c r="R199" s="562">
        <v>0</v>
      </c>
      <c r="S199" s="562">
        <v>0</v>
      </c>
      <c r="T199" s="562">
        <v>0</v>
      </c>
      <c r="U199" s="562">
        <v>0</v>
      </c>
      <c r="V199" s="562">
        <v>0</v>
      </c>
      <c r="W199" s="562">
        <v>0</v>
      </c>
      <c r="X199" s="562">
        <v>0</v>
      </c>
      <c r="Y199" s="562">
        <v>0</v>
      </c>
      <c r="Z199" s="562">
        <v>0</v>
      </c>
      <c r="AA199" s="562">
        <v>0</v>
      </c>
      <c r="AB199" s="562">
        <v>0</v>
      </c>
      <c r="AC199" s="562">
        <v>0</v>
      </c>
      <c r="AD199" s="562">
        <v>0</v>
      </c>
      <c r="AE199" s="562">
        <f>SUMIFS([14]Покупка!AD$15:AD$54,[14]Покупка!$A$15:$A$54,$A199,[14]Покупка!$M$15:$M$54,$B199)</f>
        <v>0</v>
      </c>
      <c r="AF199" s="562">
        <f>SUMIFS([14]Покупка!AE$15:AE$54,[14]Покупка!$A$15:$A$54,$A199,[14]Покупка!$M$15:$M$54,$B199)</f>
        <v>0</v>
      </c>
      <c r="AG199" s="562">
        <f>SUMIFS([14]Покупка!AF$15:AF$54,[14]Покупка!$A$15:$A$54,$A199,[14]Покупка!$M$15:$M$54,$B199)</f>
        <v>0</v>
      </c>
      <c r="AH199" s="562">
        <f>SUMIFS([14]Покупка!AG$15:AG$54,[14]Покупка!$A$15:$A$54,$A199,[14]Покупка!$M$15:$M$54,$B199)</f>
        <v>0</v>
      </c>
      <c r="AI199" s="562">
        <f>SUMIFS([14]Покупка!AH$15:AH$54,[14]Покупка!$A$15:$A$54,$A199,[14]Покупка!$M$15:$M$54,$B199)</f>
        <v>0</v>
      </c>
      <c r="AJ199" s="562">
        <f>SUMIFS([14]Покупка!AI$15:AI$54,[14]Покупка!$A$15:$A$54,$A199,[14]Покупка!$M$15:$M$54,$B199)</f>
        <v>0</v>
      </c>
      <c r="AK199" s="562">
        <f>SUMIFS([14]Покупка!AJ$15:AJ$54,[14]Покупка!$A$15:$A$54,$A199,[14]Покупка!$M$15:$M$54,$B199)</f>
        <v>0</v>
      </c>
      <c r="AL199" s="562">
        <f>SUMIFS([14]Покупка!AK$15:AK$54,[14]Покупка!$A$15:$A$54,$A199,[14]Покупка!$M$15:$M$54,$B199)</f>
        <v>0</v>
      </c>
      <c r="AM199" s="562">
        <f>SUMIFS([14]Покупка!AL$15:AL$54,[14]Покупка!$A$15:$A$54,$A199,[14]Покупка!$M$15:$M$54,$B199)</f>
        <v>0</v>
      </c>
      <c r="AN199" s="562">
        <f t="shared" si="42"/>
        <v>0</v>
      </c>
      <c r="AO199" s="562">
        <f t="shared" si="40"/>
        <v>0</v>
      </c>
      <c r="AP199" s="562">
        <f t="shared" si="40"/>
        <v>0</v>
      </c>
      <c r="AQ199" s="562">
        <f t="shared" si="40"/>
        <v>0</v>
      </c>
      <c r="AR199" s="562">
        <f t="shared" si="40"/>
        <v>0</v>
      </c>
      <c r="AS199" s="562">
        <f t="shared" si="40"/>
        <v>0</v>
      </c>
      <c r="AT199" s="562">
        <f t="shared" si="40"/>
        <v>0</v>
      </c>
      <c r="AU199" s="562">
        <f t="shared" si="40"/>
        <v>0</v>
      </c>
      <c r="AV199" s="562">
        <f t="shared" si="40"/>
        <v>0</v>
      </c>
      <c r="AW199" s="562">
        <f t="shared" si="40"/>
        <v>0</v>
      </c>
      <c r="AX199" s="548"/>
      <c r="AY199" s="548"/>
      <c r="AZ199" s="548"/>
    </row>
    <row r="200" spans="1:53" ht="11.25" hidden="1" outlineLevel="1" x14ac:dyDescent="0.25">
      <c r="A200" s="540" t="str">
        <f t="shared" si="38"/>
        <v>2</v>
      </c>
      <c r="D200" s="520" t="s">
        <v>754</v>
      </c>
      <c r="L200" s="551" t="s">
        <v>755</v>
      </c>
      <c r="M200" s="560" t="s">
        <v>156</v>
      </c>
      <c r="N200" s="553" t="s">
        <v>123</v>
      </c>
      <c r="O200" s="566"/>
      <c r="P200" s="566"/>
      <c r="Q200" s="566"/>
      <c r="R200" s="562">
        <v>0</v>
      </c>
      <c r="S200" s="566"/>
      <c r="T200" s="566"/>
      <c r="U200" s="566"/>
      <c r="V200" s="566"/>
      <c r="W200" s="566"/>
      <c r="X200" s="566"/>
      <c r="Y200" s="566"/>
      <c r="Z200" s="566"/>
      <c r="AA200" s="566"/>
      <c r="AB200" s="566"/>
      <c r="AC200" s="566"/>
      <c r="AD200" s="566"/>
      <c r="AE200" s="566"/>
      <c r="AF200" s="566"/>
      <c r="AG200" s="566"/>
      <c r="AH200" s="566"/>
      <c r="AI200" s="566"/>
      <c r="AJ200" s="566"/>
      <c r="AK200" s="566"/>
      <c r="AL200" s="566"/>
      <c r="AM200" s="566"/>
      <c r="AN200" s="562">
        <f t="shared" si="42"/>
        <v>0</v>
      </c>
      <c r="AO200" s="562">
        <f t="shared" si="40"/>
        <v>0</v>
      </c>
      <c r="AP200" s="562">
        <f t="shared" si="40"/>
        <v>0</v>
      </c>
      <c r="AQ200" s="562">
        <f t="shared" si="40"/>
        <v>0</v>
      </c>
      <c r="AR200" s="562">
        <f t="shared" si="40"/>
        <v>0</v>
      </c>
      <c r="AS200" s="562">
        <f t="shared" si="40"/>
        <v>0</v>
      </c>
      <c r="AT200" s="562">
        <f t="shared" si="40"/>
        <v>0</v>
      </c>
      <c r="AU200" s="562">
        <f t="shared" si="40"/>
        <v>0</v>
      </c>
      <c r="AV200" s="562">
        <f t="shared" si="40"/>
        <v>0</v>
      </c>
      <c r="AW200" s="562">
        <f t="shared" si="40"/>
        <v>0</v>
      </c>
      <c r="AX200" s="548"/>
      <c r="AY200" s="548"/>
      <c r="AZ200" s="548"/>
    </row>
    <row r="201" spans="1:53" ht="11.25" hidden="1" outlineLevel="1" x14ac:dyDescent="0.25">
      <c r="A201" s="540" t="str">
        <f t="shared" si="38"/>
        <v>2</v>
      </c>
      <c r="D201" s="520" t="s">
        <v>756</v>
      </c>
      <c r="L201" s="551" t="s">
        <v>757</v>
      </c>
      <c r="M201" s="560" t="s">
        <v>158</v>
      </c>
      <c r="N201" s="553" t="s">
        <v>123</v>
      </c>
      <c r="O201" s="566"/>
      <c r="P201" s="566"/>
      <c r="Q201" s="566"/>
      <c r="R201" s="562">
        <v>0</v>
      </c>
      <c r="S201" s="566"/>
      <c r="T201" s="566"/>
      <c r="U201" s="566"/>
      <c r="V201" s="566"/>
      <c r="W201" s="566"/>
      <c r="X201" s="566"/>
      <c r="Y201" s="566"/>
      <c r="Z201" s="566"/>
      <c r="AA201" s="566"/>
      <c r="AB201" s="566"/>
      <c r="AC201" s="566"/>
      <c r="AD201" s="566"/>
      <c r="AE201" s="566"/>
      <c r="AF201" s="566"/>
      <c r="AG201" s="566"/>
      <c r="AH201" s="566"/>
      <c r="AI201" s="566"/>
      <c r="AJ201" s="566"/>
      <c r="AK201" s="566"/>
      <c r="AL201" s="566"/>
      <c r="AM201" s="566"/>
      <c r="AN201" s="562">
        <f t="shared" si="42"/>
        <v>0</v>
      </c>
      <c r="AO201" s="562">
        <f t="shared" si="40"/>
        <v>0</v>
      </c>
      <c r="AP201" s="562">
        <f t="shared" si="40"/>
        <v>0</v>
      </c>
      <c r="AQ201" s="562">
        <f t="shared" si="40"/>
        <v>0</v>
      </c>
      <c r="AR201" s="562">
        <f t="shared" si="40"/>
        <v>0</v>
      </c>
      <c r="AS201" s="562">
        <f t="shared" si="40"/>
        <v>0</v>
      </c>
      <c r="AT201" s="562">
        <f t="shared" si="40"/>
        <v>0</v>
      </c>
      <c r="AU201" s="562">
        <f t="shared" si="40"/>
        <v>0</v>
      </c>
      <c r="AV201" s="562">
        <f t="shared" si="40"/>
        <v>0</v>
      </c>
      <c r="AW201" s="562">
        <f t="shared" si="40"/>
        <v>0</v>
      </c>
      <c r="AX201" s="548"/>
      <c r="AY201" s="548"/>
      <c r="AZ201" s="548"/>
    </row>
    <row r="202" spans="1:53" ht="11.25" hidden="1" outlineLevel="1" x14ac:dyDescent="0.25">
      <c r="A202" s="540" t="str">
        <f t="shared" si="38"/>
        <v>2</v>
      </c>
      <c r="B202" s="520" t="s">
        <v>758</v>
      </c>
      <c r="D202" s="520" t="s">
        <v>759</v>
      </c>
      <c r="L202" s="551" t="s">
        <v>760</v>
      </c>
      <c r="M202" s="560" t="s">
        <v>160</v>
      </c>
      <c r="N202" s="553" t="s">
        <v>123</v>
      </c>
      <c r="O202" s="562">
        <v>0</v>
      </c>
      <c r="P202" s="562">
        <v>0</v>
      </c>
      <c r="Q202" s="562">
        <v>0</v>
      </c>
      <c r="R202" s="562">
        <v>0</v>
      </c>
      <c r="S202" s="562">
        <v>0</v>
      </c>
      <c r="T202" s="562">
        <v>0</v>
      </c>
      <c r="U202" s="562">
        <v>0</v>
      </c>
      <c r="V202" s="562">
        <v>0</v>
      </c>
      <c r="W202" s="562">
        <v>0</v>
      </c>
      <c r="X202" s="562">
        <v>0</v>
      </c>
      <c r="Y202" s="562">
        <v>0</v>
      </c>
      <c r="Z202" s="562">
        <v>0</v>
      </c>
      <c r="AA202" s="562">
        <v>0</v>
      </c>
      <c r="AB202" s="562">
        <v>0</v>
      </c>
      <c r="AC202" s="562">
        <v>0</v>
      </c>
      <c r="AD202" s="562">
        <v>0</v>
      </c>
      <c r="AE202" s="562">
        <f>SUMIFS([14]Покупка!AD$15:AD$54,[14]Покупка!$A$15:$A$54,$A202,[14]Покупка!$M$15:$M$54,$B202)</f>
        <v>0</v>
      </c>
      <c r="AF202" s="562">
        <f>SUMIFS([14]Покупка!AE$15:AE$54,[14]Покупка!$A$15:$A$54,$A202,[14]Покупка!$M$15:$M$54,$B202)</f>
        <v>0</v>
      </c>
      <c r="AG202" s="562">
        <f>SUMIFS([14]Покупка!AF$15:AF$54,[14]Покупка!$A$15:$A$54,$A202,[14]Покупка!$M$15:$M$54,$B202)</f>
        <v>0</v>
      </c>
      <c r="AH202" s="562">
        <f>SUMIFS([14]Покупка!AG$15:AG$54,[14]Покупка!$A$15:$A$54,$A202,[14]Покупка!$M$15:$M$54,$B202)</f>
        <v>0</v>
      </c>
      <c r="AI202" s="562">
        <f>SUMIFS([14]Покупка!AH$15:AH$54,[14]Покупка!$A$15:$A$54,$A202,[14]Покупка!$M$15:$M$54,$B202)</f>
        <v>0</v>
      </c>
      <c r="AJ202" s="562">
        <f>SUMIFS([14]Покупка!AI$15:AI$54,[14]Покупка!$A$15:$A$54,$A202,[14]Покупка!$M$15:$M$54,$B202)</f>
        <v>0</v>
      </c>
      <c r="AK202" s="562">
        <f>SUMIFS([14]Покупка!AJ$15:AJ$54,[14]Покупка!$A$15:$A$54,$A202,[14]Покупка!$M$15:$M$54,$B202)</f>
        <v>0</v>
      </c>
      <c r="AL202" s="562">
        <f>SUMIFS([14]Покупка!AK$15:AK$54,[14]Покупка!$A$15:$A$54,$A202,[14]Покупка!$M$15:$M$54,$B202)</f>
        <v>0</v>
      </c>
      <c r="AM202" s="562">
        <f>SUMIFS([14]Покупка!AL$15:AL$54,[14]Покупка!$A$15:$A$54,$A202,[14]Покупка!$M$15:$M$54,$B202)</f>
        <v>0</v>
      </c>
      <c r="AN202" s="562">
        <f t="shared" si="42"/>
        <v>0</v>
      </c>
      <c r="AO202" s="562">
        <f t="shared" si="40"/>
        <v>0</v>
      </c>
      <c r="AP202" s="562">
        <f t="shared" si="40"/>
        <v>0</v>
      </c>
      <c r="AQ202" s="562">
        <f t="shared" si="40"/>
        <v>0</v>
      </c>
      <c r="AR202" s="562">
        <f t="shared" si="40"/>
        <v>0</v>
      </c>
      <c r="AS202" s="562">
        <f t="shared" si="40"/>
        <v>0</v>
      </c>
      <c r="AT202" s="562">
        <f t="shared" si="40"/>
        <v>0</v>
      </c>
      <c r="AU202" s="562">
        <f t="shared" si="40"/>
        <v>0</v>
      </c>
      <c r="AV202" s="562">
        <f t="shared" si="40"/>
        <v>0</v>
      </c>
      <c r="AW202" s="562">
        <f t="shared" si="40"/>
        <v>0</v>
      </c>
      <c r="AX202" s="548"/>
      <c r="AY202" s="548"/>
      <c r="AZ202" s="548"/>
    </row>
    <row r="203" spans="1:53" ht="11.25" hidden="1" outlineLevel="1" x14ac:dyDescent="0.25">
      <c r="A203" s="540" t="str">
        <f t="shared" si="38"/>
        <v>2</v>
      </c>
      <c r="B203" s="520" t="s">
        <v>761</v>
      </c>
      <c r="D203" s="520" t="s">
        <v>762</v>
      </c>
      <c r="L203" s="551" t="s">
        <v>763</v>
      </c>
      <c r="M203" s="560" t="s">
        <v>162</v>
      </c>
      <c r="N203" s="553" t="s">
        <v>123</v>
      </c>
      <c r="O203" s="562">
        <v>0</v>
      </c>
      <c r="P203" s="562">
        <v>0</v>
      </c>
      <c r="Q203" s="562">
        <v>0</v>
      </c>
      <c r="R203" s="562">
        <v>0</v>
      </c>
      <c r="S203" s="562">
        <v>0</v>
      </c>
      <c r="T203" s="562">
        <v>0</v>
      </c>
      <c r="U203" s="562">
        <v>0</v>
      </c>
      <c r="V203" s="562">
        <v>0</v>
      </c>
      <c r="W203" s="562">
        <v>0</v>
      </c>
      <c r="X203" s="562">
        <v>0</v>
      </c>
      <c r="Y203" s="562">
        <v>0</v>
      </c>
      <c r="Z203" s="562">
        <v>0</v>
      </c>
      <c r="AA203" s="562">
        <v>0</v>
      </c>
      <c r="AB203" s="562">
        <v>0</v>
      </c>
      <c r="AC203" s="562">
        <v>0</v>
      </c>
      <c r="AD203" s="562">
        <v>0</v>
      </c>
      <c r="AE203" s="562">
        <f>SUMIFS([14]Покупка!AD$15:AD$54,[14]Покупка!$A$15:$A$54,$A203,[14]Покупка!$M$15:$M$54,$B203)</f>
        <v>0</v>
      </c>
      <c r="AF203" s="562">
        <f>SUMIFS([14]Покупка!AE$15:AE$54,[14]Покупка!$A$15:$A$54,$A203,[14]Покупка!$M$15:$M$54,$B203)</f>
        <v>0</v>
      </c>
      <c r="AG203" s="562">
        <f>SUMIFS([14]Покупка!AF$15:AF$54,[14]Покупка!$A$15:$A$54,$A203,[14]Покупка!$M$15:$M$54,$B203)</f>
        <v>0</v>
      </c>
      <c r="AH203" s="562">
        <f>SUMIFS([14]Покупка!AG$15:AG$54,[14]Покупка!$A$15:$A$54,$A203,[14]Покупка!$M$15:$M$54,$B203)</f>
        <v>0</v>
      </c>
      <c r="AI203" s="562">
        <f>SUMIFS([14]Покупка!AH$15:AH$54,[14]Покупка!$A$15:$A$54,$A203,[14]Покупка!$M$15:$M$54,$B203)</f>
        <v>0</v>
      </c>
      <c r="AJ203" s="562">
        <f>SUMIFS([14]Покупка!AI$15:AI$54,[14]Покупка!$A$15:$A$54,$A203,[14]Покупка!$M$15:$M$54,$B203)</f>
        <v>0</v>
      </c>
      <c r="AK203" s="562">
        <f>SUMIFS([14]Покупка!AJ$15:AJ$54,[14]Покупка!$A$15:$A$54,$A203,[14]Покупка!$M$15:$M$54,$B203)</f>
        <v>0</v>
      </c>
      <c r="AL203" s="562">
        <f>SUMIFS([14]Покупка!AK$15:AK$54,[14]Покупка!$A$15:$A$54,$A203,[14]Покупка!$M$15:$M$54,$B203)</f>
        <v>0</v>
      </c>
      <c r="AM203" s="562">
        <f>SUMIFS([14]Покупка!AL$15:AL$54,[14]Покупка!$A$15:$A$54,$A203,[14]Покупка!$M$15:$M$54,$B203)</f>
        <v>0</v>
      </c>
      <c r="AN203" s="562">
        <f t="shared" si="42"/>
        <v>0</v>
      </c>
      <c r="AO203" s="562">
        <f t="shared" si="40"/>
        <v>0</v>
      </c>
      <c r="AP203" s="562">
        <f t="shared" si="40"/>
        <v>0</v>
      </c>
      <c r="AQ203" s="562">
        <f t="shared" si="40"/>
        <v>0</v>
      </c>
      <c r="AR203" s="562">
        <f t="shared" si="40"/>
        <v>0</v>
      </c>
      <c r="AS203" s="562">
        <f t="shared" si="40"/>
        <v>0</v>
      </c>
      <c r="AT203" s="562">
        <f t="shared" si="40"/>
        <v>0</v>
      </c>
      <c r="AU203" s="562">
        <f t="shared" si="40"/>
        <v>0</v>
      </c>
      <c r="AV203" s="562">
        <f t="shared" si="40"/>
        <v>0</v>
      </c>
      <c r="AW203" s="562">
        <f t="shared" si="40"/>
        <v>0</v>
      </c>
      <c r="AX203" s="548"/>
      <c r="AY203" s="548"/>
      <c r="AZ203" s="548"/>
    </row>
    <row r="204" spans="1:53" ht="11.25" hidden="1" outlineLevel="1" x14ac:dyDescent="0.25">
      <c r="A204" s="540" t="str">
        <f t="shared" si="38"/>
        <v>2</v>
      </c>
      <c r="B204" s="520" t="s">
        <v>764</v>
      </c>
      <c r="D204" s="520" t="s">
        <v>765</v>
      </c>
      <c r="L204" s="551" t="s">
        <v>766</v>
      </c>
      <c r="M204" s="560" t="s">
        <v>767</v>
      </c>
      <c r="N204" s="553" t="s">
        <v>123</v>
      </c>
      <c r="O204" s="562">
        <v>0</v>
      </c>
      <c r="P204" s="562">
        <v>0</v>
      </c>
      <c r="Q204" s="562">
        <v>0</v>
      </c>
      <c r="R204" s="562">
        <v>0</v>
      </c>
      <c r="S204" s="562">
        <v>0</v>
      </c>
      <c r="T204" s="562">
        <v>0</v>
      </c>
      <c r="U204" s="562">
        <v>0</v>
      </c>
      <c r="V204" s="562">
        <v>0</v>
      </c>
      <c r="W204" s="562">
        <v>0</v>
      </c>
      <c r="X204" s="562">
        <v>0</v>
      </c>
      <c r="Y204" s="562">
        <v>0</v>
      </c>
      <c r="Z204" s="562">
        <v>0</v>
      </c>
      <c r="AA204" s="562">
        <v>0</v>
      </c>
      <c r="AB204" s="562">
        <v>0</v>
      </c>
      <c r="AC204" s="562">
        <v>0</v>
      </c>
      <c r="AD204" s="562">
        <v>0</v>
      </c>
      <c r="AE204" s="562">
        <f>SUMIFS([14]Покупка!AD$15:AD$54,[14]Покупка!$A$15:$A$54,$A204,[14]Покупка!$M$15:$M$54,$B204)</f>
        <v>0</v>
      </c>
      <c r="AF204" s="562">
        <f>SUMIFS([14]Покупка!AE$15:AE$54,[14]Покупка!$A$15:$A$54,$A204,[14]Покупка!$M$15:$M$54,$B204)</f>
        <v>0</v>
      </c>
      <c r="AG204" s="562">
        <f>SUMIFS([14]Покупка!AF$15:AF$54,[14]Покупка!$A$15:$A$54,$A204,[14]Покупка!$M$15:$M$54,$B204)</f>
        <v>0</v>
      </c>
      <c r="AH204" s="562">
        <f>SUMIFS([14]Покупка!AG$15:AG$54,[14]Покупка!$A$15:$A$54,$A204,[14]Покупка!$M$15:$M$54,$B204)</f>
        <v>0</v>
      </c>
      <c r="AI204" s="562">
        <f>SUMIFS([14]Покупка!AH$15:AH$54,[14]Покупка!$A$15:$A$54,$A204,[14]Покупка!$M$15:$M$54,$B204)</f>
        <v>0</v>
      </c>
      <c r="AJ204" s="562">
        <f>SUMIFS([14]Покупка!AI$15:AI$54,[14]Покупка!$A$15:$A$54,$A204,[14]Покупка!$M$15:$M$54,$B204)</f>
        <v>0</v>
      </c>
      <c r="AK204" s="562">
        <f>SUMIFS([14]Покупка!AJ$15:AJ$54,[14]Покупка!$A$15:$A$54,$A204,[14]Покупка!$M$15:$M$54,$B204)</f>
        <v>0</v>
      </c>
      <c r="AL204" s="562">
        <f>SUMIFS([14]Покупка!AK$15:AK$54,[14]Покупка!$A$15:$A$54,$A204,[14]Покупка!$M$15:$M$54,$B204)</f>
        <v>0</v>
      </c>
      <c r="AM204" s="562">
        <f>SUMIFS([14]Покупка!AL$15:AL$54,[14]Покупка!$A$15:$A$54,$A204,[14]Покупка!$M$15:$M$54,$B204)</f>
        <v>0</v>
      </c>
      <c r="AN204" s="562">
        <f>IF(S204=0,0,(AD204-S204)/S204*100)</f>
        <v>0</v>
      </c>
      <c r="AO204" s="562">
        <f t="shared" si="40"/>
        <v>0</v>
      </c>
      <c r="AP204" s="562">
        <f t="shared" si="40"/>
        <v>0</v>
      </c>
      <c r="AQ204" s="562">
        <f t="shared" si="40"/>
        <v>0</v>
      </c>
      <c r="AR204" s="562">
        <f t="shared" si="40"/>
        <v>0</v>
      </c>
      <c r="AS204" s="562">
        <f t="shared" si="40"/>
        <v>0</v>
      </c>
      <c r="AT204" s="562">
        <f t="shared" si="40"/>
        <v>0</v>
      </c>
      <c r="AU204" s="562">
        <f t="shared" si="40"/>
        <v>0</v>
      </c>
      <c r="AV204" s="562">
        <f t="shared" si="40"/>
        <v>0</v>
      </c>
      <c r="AW204" s="562">
        <f t="shared" si="40"/>
        <v>0</v>
      </c>
      <c r="AX204" s="548"/>
      <c r="AY204" s="548"/>
      <c r="AZ204" s="548"/>
    </row>
    <row r="205" spans="1:53" ht="11.25" hidden="1" outlineLevel="1" x14ac:dyDescent="0.25">
      <c r="A205" s="540" t="str">
        <f t="shared" si="38"/>
        <v>2</v>
      </c>
      <c r="D205" s="520" t="s">
        <v>768</v>
      </c>
      <c r="L205" s="551" t="s">
        <v>373</v>
      </c>
      <c r="M205" s="552" t="s">
        <v>769</v>
      </c>
      <c r="N205" s="585" t="s">
        <v>123</v>
      </c>
      <c r="O205" s="562">
        <v>0</v>
      </c>
      <c r="P205" s="562">
        <v>0</v>
      </c>
      <c r="Q205" s="562">
        <v>0</v>
      </c>
      <c r="R205" s="562">
        <v>0</v>
      </c>
      <c r="S205" s="562">
        <v>0</v>
      </c>
      <c r="T205" s="562">
        <v>0</v>
      </c>
      <c r="U205" s="562">
        <v>0</v>
      </c>
      <c r="V205" s="562">
        <v>0</v>
      </c>
      <c r="W205" s="562">
        <v>0</v>
      </c>
      <c r="X205" s="562">
        <v>0</v>
      </c>
      <c r="Y205" s="562">
        <v>0</v>
      </c>
      <c r="Z205" s="562">
        <v>0</v>
      </c>
      <c r="AA205" s="562">
        <v>0</v>
      </c>
      <c r="AB205" s="562">
        <v>0</v>
      </c>
      <c r="AC205" s="562">
        <v>0</v>
      </c>
      <c r="AD205" s="562">
        <v>0</v>
      </c>
      <c r="AE205" s="562" t="e">
        <f>SUMIFS([14]Реагенты!AD$15:AD$25,[14]Реагенты!$A$15:$A$25,$A205,[14]Реагенты!$M$15:$M$25,"Всего по тарифу")</f>
        <v>#VALUE!</v>
      </c>
      <c r="AF205" s="562" t="e">
        <f>SUMIFS([14]Реагенты!AE$15:AE$25,[14]Реагенты!$A$15:$A$25,$A205,[14]Реагенты!$M$15:$M$25,"Всего по тарифу")</f>
        <v>#VALUE!</v>
      </c>
      <c r="AG205" s="562" t="e">
        <f>SUMIFS([14]Реагенты!AF$15:AF$25,[14]Реагенты!$A$15:$A$25,$A205,[14]Реагенты!$M$15:$M$25,"Всего по тарифу")</f>
        <v>#VALUE!</v>
      </c>
      <c r="AH205" s="562" t="e">
        <f>SUMIFS([14]Реагенты!AG$15:AG$25,[14]Реагенты!$A$15:$A$25,$A205,[14]Реагенты!$M$15:$M$25,"Всего по тарифу")</f>
        <v>#VALUE!</v>
      </c>
      <c r="AI205" s="562" t="e">
        <f>SUMIFS([14]Реагенты!AH$15:AH$25,[14]Реагенты!$A$15:$A$25,$A205,[14]Реагенты!$M$15:$M$25,"Всего по тарифу")</f>
        <v>#VALUE!</v>
      </c>
      <c r="AJ205" s="562" t="e">
        <f>SUMIFS([14]Реагенты!AI$15:AI$25,[14]Реагенты!$A$15:$A$25,$A205,[14]Реагенты!$M$15:$M$25,"Всего по тарифу")</f>
        <v>#VALUE!</v>
      </c>
      <c r="AK205" s="562" t="e">
        <f>SUMIFS([14]Реагенты!AJ$15:AJ$25,[14]Реагенты!$A$15:$A$25,$A205,[14]Реагенты!$M$15:$M$25,"Всего по тарифу")</f>
        <v>#VALUE!</v>
      </c>
      <c r="AL205" s="562" t="e">
        <f>SUMIFS([14]Реагенты!AK$15:AK$25,[14]Реагенты!$A$15:$A$25,$A205,[14]Реагенты!$M$15:$M$25,"Всего по тарифу")</f>
        <v>#VALUE!</v>
      </c>
      <c r="AM205" s="562" t="e">
        <f>SUMIFS([14]Реагенты!AL$15:AL$25,[14]Реагенты!$A$15:$A$25,$A205,[14]Реагенты!$M$15:$M$25,"Всего по тарифу")</f>
        <v>#VALUE!</v>
      </c>
      <c r="AN205" s="562">
        <f t="shared" si="42"/>
        <v>0</v>
      </c>
      <c r="AO205" s="562">
        <f t="shared" si="40"/>
        <v>0</v>
      </c>
      <c r="AP205" s="562" t="e">
        <f t="shared" si="40"/>
        <v>#VALUE!</v>
      </c>
      <c r="AQ205" s="562" t="e">
        <f t="shared" si="40"/>
        <v>#VALUE!</v>
      </c>
      <c r="AR205" s="562" t="e">
        <f t="shared" si="40"/>
        <v>#VALUE!</v>
      </c>
      <c r="AS205" s="562" t="e">
        <f t="shared" si="40"/>
        <v>#VALUE!</v>
      </c>
      <c r="AT205" s="562" t="e">
        <f t="shared" si="40"/>
        <v>#VALUE!</v>
      </c>
      <c r="AU205" s="562" t="e">
        <f t="shared" si="40"/>
        <v>#VALUE!</v>
      </c>
      <c r="AV205" s="562" t="e">
        <f t="shared" si="40"/>
        <v>#VALUE!</v>
      </c>
      <c r="AW205" s="562" t="e">
        <f t="shared" si="40"/>
        <v>#VALUE!</v>
      </c>
      <c r="AX205" s="548"/>
      <c r="AY205" s="548"/>
      <c r="AZ205" s="548"/>
    </row>
    <row r="206" spans="1:53" s="572" customFormat="1" ht="11.25" outlineLevel="1" x14ac:dyDescent="0.25">
      <c r="A206" s="540" t="str">
        <f t="shared" si="38"/>
        <v>2</v>
      </c>
      <c r="C206" s="520"/>
      <c r="D206" s="520" t="s">
        <v>770</v>
      </c>
      <c r="L206" s="573" t="s">
        <v>771</v>
      </c>
      <c r="M206" s="574" t="s">
        <v>772</v>
      </c>
      <c r="N206" s="575" t="s">
        <v>123</v>
      </c>
      <c r="O206" s="546">
        <v>11.44</v>
      </c>
      <c r="P206" s="546">
        <v>0</v>
      </c>
      <c r="Q206" s="546">
        <v>0</v>
      </c>
      <c r="R206" s="546">
        <v>0</v>
      </c>
      <c r="S206" s="546">
        <v>15.97</v>
      </c>
      <c r="T206" s="576">
        <v>18.84</v>
      </c>
      <c r="U206" s="546">
        <v>0</v>
      </c>
      <c r="V206" s="546">
        <v>0</v>
      </c>
      <c r="W206" s="546">
        <v>0</v>
      </c>
      <c r="X206" s="546">
        <v>0</v>
      </c>
      <c r="Y206" s="546">
        <v>0</v>
      </c>
      <c r="Z206" s="546">
        <v>0</v>
      </c>
      <c r="AA206" s="546">
        <v>0</v>
      </c>
      <c r="AB206" s="546">
        <v>0</v>
      </c>
      <c r="AC206" s="546">
        <v>0</v>
      </c>
      <c r="AD206" s="576">
        <v>18.84</v>
      </c>
      <c r="AE206" s="546">
        <f t="shared" ref="AE206:AM206" si="43">SUM(AE207:AE215)</f>
        <v>7.8902286136999997</v>
      </c>
      <c r="AF206" s="546">
        <f t="shared" si="43"/>
        <v>8.1867792980999994</v>
      </c>
      <c r="AG206" s="546">
        <f t="shared" si="43"/>
        <v>8.4951920099000002</v>
      </c>
      <c r="AH206" s="546">
        <f t="shared" si="43"/>
        <v>0</v>
      </c>
      <c r="AI206" s="546">
        <f t="shared" si="43"/>
        <v>0</v>
      </c>
      <c r="AJ206" s="546">
        <f t="shared" si="43"/>
        <v>0</v>
      </c>
      <c r="AK206" s="546">
        <f t="shared" si="43"/>
        <v>0</v>
      </c>
      <c r="AL206" s="546">
        <f t="shared" si="43"/>
        <v>0</v>
      </c>
      <c r="AM206" s="546">
        <f t="shared" si="43"/>
        <v>0</v>
      </c>
      <c r="AN206" s="546">
        <f t="shared" si="42"/>
        <v>17.971195992485907</v>
      </c>
      <c r="AO206" s="546">
        <f t="shared" si="40"/>
        <v>-58.119805659766456</v>
      </c>
      <c r="AP206" s="546">
        <f t="shared" si="40"/>
        <v>3.7584549056676422</v>
      </c>
      <c r="AQ206" s="546">
        <f t="shared" si="40"/>
        <v>3.7672044227646118</v>
      </c>
      <c r="AR206" s="546">
        <f t="shared" si="40"/>
        <v>-100</v>
      </c>
      <c r="AS206" s="546">
        <f t="shared" si="40"/>
        <v>0</v>
      </c>
      <c r="AT206" s="546">
        <f t="shared" si="40"/>
        <v>0</v>
      </c>
      <c r="AU206" s="546">
        <f t="shared" si="40"/>
        <v>0</v>
      </c>
      <c r="AV206" s="546">
        <f t="shared" si="40"/>
        <v>0</v>
      </c>
      <c r="AW206" s="546">
        <f t="shared" si="40"/>
        <v>0</v>
      </c>
      <c r="AX206" s="559"/>
      <c r="AY206" s="559"/>
      <c r="AZ206" s="559"/>
    </row>
    <row r="207" spans="1:53" ht="11.25" hidden="1" outlineLevel="1" x14ac:dyDescent="0.25">
      <c r="A207" s="540" t="str">
        <f t="shared" si="38"/>
        <v>2</v>
      </c>
      <c r="B207" s="520" t="s">
        <v>167</v>
      </c>
      <c r="D207" s="520" t="s">
        <v>773</v>
      </c>
      <c r="L207" s="551" t="s">
        <v>774</v>
      </c>
      <c r="M207" s="560" t="s">
        <v>775</v>
      </c>
      <c r="N207" s="553" t="s">
        <v>123</v>
      </c>
      <c r="O207" s="562">
        <v>0</v>
      </c>
      <c r="P207" s="562">
        <v>0</v>
      </c>
      <c r="Q207" s="562">
        <v>0</v>
      </c>
      <c r="R207" s="562">
        <v>0</v>
      </c>
      <c r="S207" s="562">
        <v>0</v>
      </c>
      <c r="T207" s="562">
        <v>0</v>
      </c>
      <c r="U207" s="562">
        <v>0</v>
      </c>
      <c r="V207" s="562">
        <v>0</v>
      </c>
      <c r="W207" s="562">
        <v>0</v>
      </c>
      <c r="X207" s="562">
        <v>0</v>
      </c>
      <c r="Y207" s="562">
        <v>0</v>
      </c>
      <c r="Z207" s="562">
        <v>0</v>
      </c>
      <c r="AA207" s="562">
        <v>0</v>
      </c>
      <c r="AB207" s="562">
        <v>0</v>
      </c>
      <c r="AC207" s="562">
        <v>0</v>
      </c>
      <c r="AD207" s="562">
        <v>0</v>
      </c>
      <c r="AE207" s="562">
        <f>SUMIFS([14]Налоги!AD$15:AD$42,[14]Налоги!$A$15:$A$42,$A207,[14]Налоги!$M$15:$M$42,$B207)</f>
        <v>0</v>
      </c>
      <c r="AF207" s="562">
        <f>SUMIFS([14]Налоги!AE$15:AE$42,[14]Налоги!$A$15:$A$42,$A207,[14]Налоги!$M$15:$M$42,$B207)</f>
        <v>0</v>
      </c>
      <c r="AG207" s="562">
        <f>SUMIFS([14]Налоги!AF$15:AF$42,[14]Налоги!$A$15:$A$42,$A207,[14]Налоги!$M$15:$M$42,$B207)</f>
        <v>0</v>
      </c>
      <c r="AH207" s="562">
        <f>SUMIFS([14]Налоги!AG$15:AG$42,[14]Налоги!$A$15:$A$42,$A207,[14]Налоги!$M$15:$M$42,$B207)</f>
        <v>0</v>
      </c>
      <c r="AI207" s="562">
        <f>SUMIFS([14]Налоги!AH$15:AH$42,[14]Налоги!$A$15:$A$42,$A207,[14]Налоги!$M$15:$M$42,$B207)</f>
        <v>0</v>
      </c>
      <c r="AJ207" s="562">
        <f>SUMIFS([14]Налоги!AI$15:AI$42,[14]Налоги!$A$15:$A$42,$A207,[14]Налоги!$M$15:$M$42,$B207)</f>
        <v>0</v>
      </c>
      <c r="AK207" s="562">
        <f>SUMIFS([14]Налоги!AJ$15:AJ$42,[14]Налоги!$A$15:$A$42,$A207,[14]Налоги!$M$15:$M$42,$B207)</f>
        <v>0</v>
      </c>
      <c r="AL207" s="562">
        <f>SUMIFS([14]Налоги!AK$15:AK$42,[14]Налоги!$A$15:$A$42,$A207,[14]Налоги!$M$15:$M$42,$B207)</f>
        <v>0</v>
      </c>
      <c r="AM207" s="562">
        <f>SUMIFS([14]Налоги!AL$15:AL$42,[14]Налоги!$A$15:$A$42,$A207,[14]Налоги!$M$15:$M$42,$B207)</f>
        <v>0</v>
      </c>
      <c r="AN207" s="562">
        <f t="shared" si="42"/>
        <v>0</v>
      </c>
      <c r="AO207" s="562">
        <f t="shared" si="40"/>
        <v>0</v>
      </c>
      <c r="AP207" s="562">
        <f t="shared" si="40"/>
        <v>0</v>
      </c>
      <c r="AQ207" s="562">
        <f t="shared" si="40"/>
        <v>0</v>
      </c>
      <c r="AR207" s="562">
        <f t="shared" si="40"/>
        <v>0</v>
      </c>
      <c r="AS207" s="562">
        <f t="shared" si="40"/>
        <v>0</v>
      </c>
      <c r="AT207" s="562">
        <f t="shared" si="40"/>
        <v>0</v>
      </c>
      <c r="AU207" s="562">
        <f t="shared" si="40"/>
        <v>0</v>
      </c>
      <c r="AV207" s="562">
        <f t="shared" si="40"/>
        <v>0</v>
      </c>
      <c r="AW207" s="562">
        <f t="shared" si="40"/>
        <v>0</v>
      </c>
      <c r="AX207" s="548"/>
      <c r="AY207" s="548"/>
      <c r="AZ207" s="548"/>
    </row>
    <row r="208" spans="1:53" ht="11.25" hidden="1" outlineLevel="1" x14ac:dyDescent="0.25">
      <c r="A208" s="540" t="str">
        <f t="shared" ref="A208:A267" si="44">A207</f>
        <v>2</v>
      </c>
      <c r="B208" s="520" t="s">
        <v>776</v>
      </c>
      <c r="D208" s="520" t="s">
        <v>777</v>
      </c>
      <c r="L208" s="551" t="s">
        <v>778</v>
      </c>
      <c r="M208" s="560" t="s">
        <v>779</v>
      </c>
      <c r="N208" s="553" t="s">
        <v>123</v>
      </c>
      <c r="O208" s="562">
        <v>0</v>
      </c>
      <c r="P208" s="562">
        <v>0</v>
      </c>
      <c r="Q208" s="562">
        <v>0</v>
      </c>
      <c r="R208" s="562">
        <v>0</v>
      </c>
      <c r="S208" s="562">
        <v>0</v>
      </c>
      <c r="T208" s="562">
        <v>0</v>
      </c>
      <c r="U208" s="562">
        <v>0</v>
      </c>
      <c r="V208" s="562">
        <v>0</v>
      </c>
      <c r="W208" s="562">
        <v>0</v>
      </c>
      <c r="X208" s="562">
        <v>0</v>
      </c>
      <c r="Y208" s="562">
        <v>0</v>
      </c>
      <c r="Z208" s="562">
        <v>0</v>
      </c>
      <c r="AA208" s="562">
        <v>0</v>
      </c>
      <c r="AB208" s="562">
        <v>0</v>
      </c>
      <c r="AC208" s="562">
        <v>0</v>
      </c>
      <c r="AD208" s="562">
        <v>0</v>
      </c>
      <c r="AE208" s="562">
        <f>SUMIFS([14]Налоги!AD$15:AD$42,[14]Налоги!$A$15:$A$42,$A208,[14]Налоги!$M$15:$M$42,$B208)</f>
        <v>0</v>
      </c>
      <c r="AF208" s="562">
        <f>SUMIFS([14]Налоги!AE$15:AE$42,[14]Налоги!$A$15:$A$42,$A208,[14]Налоги!$M$15:$M$42,$B208)</f>
        <v>0</v>
      </c>
      <c r="AG208" s="562">
        <f>SUMIFS([14]Налоги!AF$15:AF$42,[14]Налоги!$A$15:$A$42,$A208,[14]Налоги!$M$15:$M$42,$B208)</f>
        <v>0</v>
      </c>
      <c r="AH208" s="562">
        <f>SUMIFS([14]Налоги!AG$15:AG$42,[14]Налоги!$A$15:$A$42,$A208,[14]Налоги!$M$15:$M$42,$B208)</f>
        <v>0</v>
      </c>
      <c r="AI208" s="562">
        <f>SUMIFS([14]Налоги!AH$15:AH$42,[14]Налоги!$A$15:$A$42,$A208,[14]Налоги!$M$15:$M$42,$B208)</f>
        <v>0</v>
      </c>
      <c r="AJ208" s="562">
        <f>SUMIFS([14]Налоги!AI$15:AI$42,[14]Налоги!$A$15:$A$42,$A208,[14]Налоги!$M$15:$M$42,$B208)</f>
        <v>0</v>
      </c>
      <c r="AK208" s="562">
        <f>SUMIFS([14]Налоги!AJ$15:AJ$42,[14]Налоги!$A$15:$A$42,$A208,[14]Налоги!$M$15:$M$42,$B208)</f>
        <v>0</v>
      </c>
      <c r="AL208" s="562">
        <f>SUMIFS([14]Налоги!AK$15:AK$42,[14]Налоги!$A$15:$A$42,$A208,[14]Налоги!$M$15:$M$42,$B208)</f>
        <v>0</v>
      </c>
      <c r="AM208" s="562">
        <f>SUMIFS([14]Налоги!AL$15:AL$42,[14]Налоги!$A$15:$A$42,$A208,[14]Налоги!$M$15:$M$42,$B208)</f>
        <v>0</v>
      </c>
      <c r="AN208" s="562">
        <f t="shared" si="42"/>
        <v>0</v>
      </c>
      <c r="AO208" s="562">
        <f t="shared" si="40"/>
        <v>0</v>
      </c>
      <c r="AP208" s="562">
        <f t="shared" si="40"/>
        <v>0</v>
      </c>
      <c r="AQ208" s="562">
        <f t="shared" si="40"/>
        <v>0</v>
      </c>
      <c r="AR208" s="562">
        <f t="shared" si="40"/>
        <v>0</v>
      </c>
      <c r="AS208" s="562">
        <f t="shared" si="40"/>
        <v>0</v>
      </c>
      <c r="AT208" s="562">
        <f t="shared" si="40"/>
        <v>0</v>
      </c>
      <c r="AU208" s="562">
        <f t="shared" si="40"/>
        <v>0</v>
      </c>
      <c r="AV208" s="562">
        <f t="shared" si="40"/>
        <v>0</v>
      </c>
      <c r="AW208" s="562">
        <f t="shared" si="40"/>
        <v>0</v>
      </c>
      <c r="AX208" s="548"/>
      <c r="AY208" s="548"/>
      <c r="AZ208" s="548"/>
    </row>
    <row r="209" spans="1:52" ht="11.25" hidden="1" outlineLevel="1" x14ac:dyDescent="0.25">
      <c r="A209" s="540" t="str">
        <f t="shared" si="44"/>
        <v>2</v>
      </c>
      <c r="B209" s="520" t="s">
        <v>176</v>
      </c>
      <c r="D209" s="520" t="s">
        <v>780</v>
      </c>
      <c r="L209" s="551" t="s">
        <v>781</v>
      </c>
      <c r="M209" s="560" t="s">
        <v>782</v>
      </c>
      <c r="N209" s="553" t="s">
        <v>123</v>
      </c>
      <c r="O209" s="562">
        <v>0</v>
      </c>
      <c r="P209" s="562">
        <v>0</v>
      </c>
      <c r="Q209" s="562">
        <v>0</v>
      </c>
      <c r="R209" s="562">
        <v>0</v>
      </c>
      <c r="S209" s="562">
        <v>0</v>
      </c>
      <c r="T209" s="562">
        <v>0</v>
      </c>
      <c r="U209" s="562">
        <v>0</v>
      </c>
      <c r="V209" s="562">
        <v>0</v>
      </c>
      <c r="W209" s="562">
        <v>0</v>
      </c>
      <c r="X209" s="562">
        <v>0</v>
      </c>
      <c r="Y209" s="562">
        <v>0</v>
      </c>
      <c r="Z209" s="562">
        <v>0</v>
      </c>
      <c r="AA209" s="562">
        <v>0</v>
      </c>
      <c r="AB209" s="562">
        <v>0</v>
      </c>
      <c r="AC209" s="562">
        <v>0</v>
      </c>
      <c r="AD209" s="562">
        <v>0</v>
      </c>
      <c r="AE209" s="562">
        <f>SUMIFS([14]Налоги!AD$15:AD$42,[14]Налоги!$A$15:$A$42,$A209,[14]Налоги!$M$15:$M$42,$B209)</f>
        <v>0</v>
      </c>
      <c r="AF209" s="562">
        <f>SUMIFS([14]Налоги!AE$15:AE$42,[14]Налоги!$A$15:$A$42,$A209,[14]Налоги!$M$15:$M$42,$B209)</f>
        <v>0</v>
      </c>
      <c r="AG209" s="562">
        <f>SUMIFS([14]Налоги!AF$15:AF$42,[14]Налоги!$A$15:$A$42,$A209,[14]Налоги!$M$15:$M$42,$B209)</f>
        <v>0</v>
      </c>
      <c r="AH209" s="562">
        <f>SUMIFS([14]Налоги!AG$15:AG$42,[14]Налоги!$A$15:$A$42,$A209,[14]Налоги!$M$15:$M$42,$B209)</f>
        <v>0</v>
      </c>
      <c r="AI209" s="562">
        <f>SUMIFS([14]Налоги!AH$15:AH$42,[14]Налоги!$A$15:$A$42,$A209,[14]Налоги!$M$15:$M$42,$B209)</f>
        <v>0</v>
      </c>
      <c r="AJ209" s="562">
        <f>SUMIFS([14]Налоги!AI$15:AI$42,[14]Налоги!$A$15:$A$42,$A209,[14]Налоги!$M$15:$M$42,$B209)</f>
        <v>0</v>
      </c>
      <c r="AK209" s="562">
        <f>SUMIFS([14]Налоги!AJ$15:AJ$42,[14]Налоги!$A$15:$A$42,$A209,[14]Налоги!$M$15:$M$42,$B209)</f>
        <v>0</v>
      </c>
      <c r="AL209" s="562">
        <f>SUMIFS([14]Налоги!AK$15:AK$42,[14]Налоги!$A$15:$A$42,$A209,[14]Налоги!$M$15:$M$42,$B209)</f>
        <v>0</v>
      </c>
      <c r="AM209" s="562">
        <f>SUMIFS([14]Налоги!AL$15:AL$42,[14]Налоги!$A$15:$A$42,$A209,[14]Налоги!$M$15:$M$42,$B209)</f>
        <v>0</v>
      </c>
      <c r="AN209" s="562">
        <f t="shared" si="42"/>
        <v>0</v>
      </c>
      <c r="AO209" s="562">
        <f t="shared" ref="AO209:AW236" si="45">IF(AD209=0,0,(AE209-AD209)/AD209*100)</f>
        <v>0</v>
      </c>
      <c r="AP209" s="562">
        <f t="shared" si="45"/>
        <v>0</v>
      </c>
      <c r="AQ209" s="562">
        <f t="shared" si="45"/>
        <v>0</v>
      </c>
      <c r="AR209" s="562">
        <f t="shared" si="45"/>
        <v>0</v>
      </c>
      <c r="AS209" s="562">
        <f t="shared" si="45"/>
        <v>0</v>
      </c>
      <c r="AT209" s="562">
        <f t="shared" si="45"/>
        <v>0</v>
      </c>
      <c r="AU209" s="562">
        <f t="shared" si="45"/>
        <v>0</v>
      </c>
      <c r="AV209" s="562">
        <f t="shared" si="45"/>
        <v>0</v>
      </c>
      <c r="AW209" s="562">
        <f t="shared" si="45"/>
        <v>0</v>
      </c>
      <c r="AX209" s="548"/>
      <c r="AY209" s="548"/>
      <c r="AZ209" s="548"/>
    </row>
    <row r="210" spans="1:52" ht="11.25" hidden="1" outlineLevel="1" x14ac:dyDescent="0.25">
      <c r="A210" s="540" t="str">
        <f t="shared" si="44"/>
        <v>2</v>
      </c>
      <c r="B210" s="520" t="s">
        <v>783</v>
      </c>
      <c r="D210" s="520" t="s">
        <v>784</v>
      </c>
      <c r="L210" s="551" t="s">
        <v>785</v>
      </c>
      <c r="M210" s="560" t="s">
        <v>786</v>
      </c>
      <c r="N210" s="553" t="s">
        <v>123</v>
      </c>
      <c r="O210" s="562">
        <v>0</v>
      </c>
      <c r="P210" s="562">
        <v>0</v>
      </c>
      <c r="Q210" s="562">
        <v>0</v>
      </c>
      <c r="R210" s="562">
        <v>0</v>
      </c>
      <c r="S210" s="562">
        <v>0</v>
      </c>
      <c r="T210" s="562">
        <v>0</v>
      </c>
      <c r="U210" s="562">
        <v>0</v>
      </c>
      <c r="V210" s="562">
        <v>0</v>
      </c>
      <c r="W210" s="562">
        <v>0</v>
      </c>
      <c r="X210" s="562">
        <v>0</v>
      </c>
      <c r="Y210" s="562">
        <v>0</v>
      </c>
      <c r="Z210" s="562">
        <v>0</v>
      </c>
      <c r="AA210" s="562">
        <v>0</v>
      </c>
      <c r="AB210" s="562">
        <v>0</v>
      </c>
      <c r="AC210" s="562">
        <v>0</v>
      </c>
      <c r="AD210" s="562">
        <v>0</v>
      </c>
      <c r="AE210" s="562">
        <f>SUMIFS([14]Налоги!AD$15:AD$42,[14]Налоги!$A$15:$A$42,$A210,[14]Налоги!$M$15:$M$42,$B210)</f>
        <v>0</v>
      </c>
      <c r="AF210" s="562">
        <f>SUMIFS([14]Налоги!AE$15:AE$42,[14]Налоги!$A$15:$A$42,$A210,[14]Налоги!$M$15:$M$42,$B210)</f>
        <v>0</v>
      </c>
      <c r="AG210" s="562">
        <f>SUMIFS([14]Налоги!AF$15:AF$42,[14]Налоги!$A$15:$A$42,$A210,[14]Налоги!$M$15:$M$42,$B210)</f>
        <v>0</v>
      </c>
      <c r="AH210" s="562">
        <f>SUMIFS([14]Налоги!AG$15:AG$42,[14]Налоги!$A$15:$A$42,$A210,[14]Налоги!$M$15:$M$42,$B210)</f>
        <v>0</v>
      </c>
      <c r="AI210" s="562">
        <f>SUMIFS([14]Налоги!AH$15:AH$42,[14]Налоги!$A$15:$A$42,$A210,[14]Налоги!$M$15:$M$42,$B210)</f>
        <v>0</v>
      </c>
      <c r="AJ210" s="562">
        <f>SUMIFS([14]Налоги!AI$15:AI$42,[14]Налоги!$A$15:$A$42,$A210,[14]Налоги!$M$15:$M$42,$B210)</f>
        <v>0</v>
      </c>
      <c r="AK210" s="562">
        <f>SUMIFS([14]Налоги!AJ$15:AJ$42,[14]Налоги!$A$15:$A$42,$A210,[14]Налоги!$M$15:$M$42,$B210)</f>
        <v>0</v>
      </c>
      <c r="AL210" s="562">
        <f>SUMIFS([14]Налоги!AK$15:AK$42,[14]Налоги!$A$15:$A$42,$A210,[14]Налоги!$M$15:$M$42,$B210)</f>
        <v>0</v>
      </c>
      <c r="AM210" s="562">
        <f>SUMIFS([14]Налоги!AL$15:AL$42,[14]Налоги!$A$15:$A$42,$A210,[14]Налоги!$M$15:$M$42,$B210)</f>
        <v>0</v>
      </c>
      <c r="AN210" s="562">
        <f t="shared" si="42"/>
        <v>0</v>
      </c>
      <c r="AO210" s="562">
        <f t="shared" si="45"/>
        <v>0</v>
      </c>
      <c r="AP210" s="562">
        <f t="shared" si="45"/>
        <v>0</v>
      </c>
      <c r="AQ210" s="562">
        <f t="shared" si="45"/>
        <v>0</v>
      </c>
      <c r="AR210" s="562">
        <f t="shared" si="45"/>
        <v>0</v>
      </c>
      <c r="AS210" s="562">
        <f t="shared" si="45"/>
        <v>0</v>
      </c>
      <c r="AT210" s="562">
        <f t="shared" si="45"/>
        <v>0</v>
      </c>
      <c r="AU210" s="562">
        <f t="shared" si="45"/>
        <v>0</v>
      </c>
      <c r="AV210" s="562">
        <f t="shared" si="45"/>
        <v>0</v>
      </c>
      <c r="AW210" s="562">
        <f t="shared" si="45"/>
        <v>0</v>
      </c>
      <c r="AX210" s="548"/>
      <c r="AY210" s="548"/>
      <c r="AZ210" s="548"/>
    </row>
    <row r="211" spans="1:52" ht="11.25" hidden="1" outlineLevel="1" x14ac:dyDescent="0.25">
      <c r="A211" s="540" t="str">
        <f t="shared" si="44"/>
        <v>2</v>
      </c>
      <c r="B211" s="520" t="s">
        <v>787</v>
      </c>
      <c r="D211" s="520" t="s">
        <v>788</v>
      </c>
      <c r="L211" s="551" t="s">
        <v>789</v>
      </c>
      <c r="M211" s="560" t="s">
        <v>790</v>
      </c>
      <c r="N211" s="553" t="s">
        <v>123</v>
      </c>
      <c r="O211" s="562">
        <v>0</v>
      </c>
      <c r="P211" s="562">
        <v>0</v>
      </c>
      <c r="Q211" s="562">
        <v>0</v>
      </c>
      <c r="R211" s="562">
        <v>0</v>
      </c>
      <c r="S211" s="562">
        <v>0</v>
      </c>
      <c r="T211" s="562">
        <v>0</v>
      </c>
      <c r="U211" s="562">
        <v>0</v>
      </c>
      <c r="V211" s="562">
        <v>0</v>
      </c>
      <c r="W211" s="562">
        <v>0</v>
      </c>
      <c r="X211" s="562">
        <v>0</v>
      </c>
      <c r="Y211" s="562">
        <v>0</v>
      </c>
      <c r="Z211" s="562">
        <v>0</v>
      </c>
      <c r="AA211" s="562">
        <v>0</v>
      </c>
      <c r="AB211" s="562">
        <v>0</v>
      </c>
      <c r="AC211" s="562">
        <v>0</v>
      </c>
      <c r="AD211" s="562">
        <v>0</v>
      </c>
      <c r="AE211" s="562">
        <f>SUMIFS([14]Налоги!AD$15:AD$42,[14]Налоги!$A$15:$A$42,$A211,[14]Налоги!$M$15:$M$42,$B211)</f>
        <v>0</v>
      </c>
      <c r="AF211" s="562">
        <f>SUMIFS([14]Налоги!AE$15:AE$42,[14]Налоги!$A$15:$A$42,$A211,[14]Налоги!$M$15:$M$42,$B211)</f>
        <v>0</v>
      </c>
      <c r="AG211" s="562">
        <f>SUMIFS([14]Налоги!AF$15:AF$42,[14]Налоги!$A$15:$A$42,$A211,[14]Налоги!$M$15:$M$42,$B211)</f>
        <v>0</v>
      </c>
      <c r="AH211" s="562">
        <f>SUMIFS([14]Налоги!AG$15:AG$42,[14]Налоги!$A$15:$A$42,$A211,[14]Налоги!$M$15:$M$42,$B211)</f>
        <v>0</v>
      </c>
      <c r="AI211" s="562">
        <f>SUMIFS([14]Налоги!AH$15:AH$42,[14]Налоги!$A$15:$A$42,$A211,[14]Налоги!$M$15:$M$42,$B211)</f>
        <v>0</v>
      </c>
      <c r="AJ211" s="562">
        <f>SUMIFS([14]Налоги!AI$15:AI$42,[14]Налоги!$A$15:$A$42,$A211,[14]Налоги!$M$15:$M$42,$B211)</f>
        <v>0</v>
      </c>
      <c r="AK211" s="562">
        <f>SUMIFS([14]Налоги!AJ$15:AJ$42,[14]Налоги!$A$15:$A$42,$A211,[14]Налоги!$M$15:$M$42,$B211)</f>
        <v>0</v>
      </c>
      <c r="AL211" s="562">
        <f>SUMIFS([14]Налоги!AK$15:AK$42,[14]Налоги!$A$15:$A$42,$A211,[14]Налоги!$M$15:$M$42,$B211)</f>
        <v>0</v>
      </c>
      <c r="AM211" s="562">
        <f>SUMIFS([14]Налоги!AL$15:AL$42,[14]Налоги!$A$15:$A$42,$A211,[14]Налоги!$M$15:$M$42,$B211)</f>
        <v>0</v>
      </c>
      <c r="AN211" s="562">
        <f t="shared" si="42"/>
        <v>0</v>
      </c>
      <c r="AO211" s="562">
        <f t="shared" si="45"/>
        <v>0</v>
      </c>
      <c r="AP211" s="562">
        <f t="shared" si="45"/>
        <v>0</v>
      </c>
      <c r="AQ211" s="562">
        <f t="shared" si="45"/>
        <v>0</v>
      </c>
      <c r="AR211" s="562">
        <f t="shared" si="45"/>
        <v>0</v>
      </c>
      <c r="AS211" s="562">
        <f t="shared" si="45"/>
        <v>0</v>
      </c>
      <c r="AT211" s="562">
        <f t="shared" si="45"/>
        <v>0</v>
      </c>
      <c r="AU211" s="562">
        <f t="shared" si="45"/>
        <v>0</v>
      </c>
      <c r="AV211" s="562">
        <f t="shared" si="45"/>
        <v>0</v>
      </c>
      <c r="AW211" s="562">
        <f t="shared" si="45"/>
        <v>0</v>
      </c>
      <c r="AX211" s="548"/>
      <c r="AY211" s="548"/>
      <c r="AZ211" s="548"/>
    </row>
    <row r="212" spans="1:52" ht="11.25" hidden="1" outlineLevel="1" x14ac:dyDescent="0.25">
      <c r="A212" s="540" t="str">
        <f t="shared" si="44"/>
        <v>2</v>
      </c>
      <c r="B212" s="520" t="s">
        <v>178</v>
      </c>
      <c r="D212" s="520" t="s">
        <v>791</v>
      </c>
      <c r="L212" s="551" t="s">
        <v>792</v>
      </c>
      <c r="M212" s="560" t="s">
        <v>793</v>
      </c>
      <c r="N212" s="553" t="s">
        <v>123</v>
      </c>
      <c r="O212" s="562">
        <v>0</v>
      </c>
      <c r="P212" s="562">
        <v>0</v>
      </c>
      <c r="Q212" s="562">
        <v>0</v>
      </c>
      <c r="R212" s="562">
        <v>0</v>
      </c>
      <c r="S212" s="562">
        <v>0</v>
      </c>
      <c r="T212" s="562">
        <v>0</v>
      </c>
      <c r="U212" s="562">
        <v>0</v>
      </c>
      <c r="V212" s="562">
        <v>0</v>
      </c>
      <c r="W212" s="562">
        <v>0</v>
      </c>
      <c r="X212" s="562">
        <v>0</v>
      </c>
      <c r="Y212" s="562">
        <v>0</v>
      </c>
      <c r="Z212" s="562">
        <v>0</v>
      </c>
      <c r="AA212" s="562">
        <v>0</v>
      </c>
      <c r="AB212" s="562">
        <v>0</v>
      </c>
      <c r="AC212" s="562">
        <v>0</v>
      </c>
      <c r="AD212" s="562">
        <v>0</v>
      </c>
      <c r="AE212" s="562">
        <f>SUMIFS([14]Налоги!AD$15:AD$42,[14]Налоги!$A$15:$A$42,$A212,[14]Налоги!$M$15:$M$42,$B212)</f>
        <v>0</v>
      </c>
      <c r="AF212" s="562">
        <f>SUMIFS([14]Налоги!AE$15:AE$42,[14]Налоги!$A$15:$A$42,$A212,[14]Налоги!$M$15:$M$42,$B212)</f>
        <v>0</v>
      </c>
      <c r="AG212" s="562">
        <f>SUMIFS([14]Налоги!AF$15:AF$42,[14]Налоги!$A$15:$A$42,$A212,[14]Налоги!$M$15:$M$42,$B212)</f>
        <v>0</v>
      </c>
      <c r="AH212" s="562">
        <f>SUMIFS([14]Налоги!AG$15:AG$42,[14]Налоги!$A$15:$A$42,$A212,[14]Налоги!$M$15:$M$42,$B212)</f>
        <v>0</v>
      </c>
      <c r="AI212" s="562">
        <f>SUMIFS([14]Налоги!AH$15:AH$42,[14]Налоги!$A$15:$A$42,$A212,[14]Налоги!$M$15:$M$42,$B212)</f>
        <v>0</v>
      </c>
      <c r="AJ212" s="562">
        <f>SUMIFS([14]Налоги!AI$15:AI$42,[14]Налоги!$A$15:$A$42,$A212,[14]Налоги!$M$15:$M$42,$B212)</f>
        <v>0</v>
      </c>
      <c r="AK212" s="562">
        <f>SUMIFS([14]Налоги!AJ$15:AJ$42,[14]Налоги!$A$15:$A$42,$A212,[14]Налоги!$M$15:$M$42,$B212)</f>
        <v>0</v>
      </c>
      <c r="AL212" s="562">
        <f>SUMIFS([14]Налоги!AK$15:AK$42,[14]Налоги!$A$15:$A$42,$A212,[14]Налоги!$M$15:$M$42,$B212)</f>
        <v>0</v>
      </c>
      <c r="AM212" s="562">
        <f>SUMIFS([14]Налоги!AL$15:AL$42,[14]Налоги!$A$15:$A$42,$A212,[14]Налоги!$M$15:$M$42,$B212)</f>
        <v>0</v>
      </c>
      <c r="AN212" s="562">
        <f t="shared" si="42"/>
        <v>0</v>
      </c>
      <c r="AO212" s="562">
        <f t="shared" si="45"/>
        <v>0</v>
      </c>
      <c r="AP212" s="562">
        <f t="shared" si="45"/>
        <v>0</v>
      </c>
      <c r="AQ212" s="562">
        <f t="shared" si="45"/>
        <v>0</v>
      </c>
      <c r="AR212" s="562">
        <f t="shared" si="45"/>
        <v>0</v>
      </c>
      <c r="AS212" s="562">
        <f t="shared" si="45"/>
        <v>0</v>
      </c>
      <c r="AT212" s="562">
        <f t="shared" si="45"/>
        <v>0</v>
      </c>
      <c r="AU212" s="562">
        <f t="shared" si="45"/>
        <v>0</v>
      </c>
      <c r="AV212" s="562">
        <f t="shared" si="45"/>
        <v>0</v>
      </c>
      <c r="AW212" s="562">
        <f t="shared" si="45"/>
        <v>0</v>
      </c>
      <c r="AX212" s="548"/>
      <c r="AY212" s="548"/>
      <c r="AZ212" s="548"/>
    </row>
    <row r="213" spans="1:52" ht="11.25" hidden="1" outlineLevel="1" x14ac:dyDescent="0.25">
      <c r="A213" s="540" t="str">
        <f t="shared" si="44"/>
        <v>2</v>
      </c>
      <c r="B213" s="520" t="s">
        <v>172</v>
      </c>
      <c r="D213" s="520" t="s">
        <v>794</v>
      </c>
      <c r="L213" s="551" t="s">
        <v>795</v>
      </c>
      <c r="M213" s="560" t="s">
        <v>796</v>
      </c>
      <c r="N213" s="553" t="s">
        <v>123</v>
      </c>
      <c r="O213" s="566">
        <v>0</v>
      </c>
      <c r="P213" s="566">
        <v>0</v>
      </c>
      <c r="Q213" s="566">
        <v>0</v>
      </c>
      <c r="R213" s="562">
        <v>0</v>
      </c>
      <c r="S213" s="566">
        <v>0</v>
      </c>
      <c r="T213" s="566">
        <v>0</v>
      </c>
      <c r="U213" s="566">
        <v>0</v>
      </c>
      <c r="V213" s="566">
        <v>0</v>
      </c>
      <c r="W213" s="566">
        <v>0</v>
      </c>
      <c r="X213" s="566">
        <v>0</v>
      </c>
      <c r="Y213" s="566">
        <v>0</v>
      </c>
      <c r="Z213" s="566">
        <v>0</v>
      </c>
      <c r="AA213" s="566">
        <v>0</v>
      </c>
      <c r="AB213" s="566">
        <v>0</v>
      </c>
      <c r="AC213" s="566">
        <v>0</v>
      </c>
      <c r="AD213" s="566">
        <v>0</v>
      </c>
      <c r="AE213" s="566">
        <v>0</v>
      </c>
      <c r="AF213" s="566">
        <v>0</v>
      </c>
      <c r="AG213" s="566">
        <v>0</v>
      </c>
      <c r="AH213" s="566">
        <f>SUMIFS([14]Налоги!AG$15:AG$42,[14]Налоги!$A$15:$A$42,$A213,[14]Налоги!$M$15:$M$42,$B213)</f>
        <v>0</v>
      </c>
      <c r="AI213" s="566">
        <f>SUMIFS([14]Налоги!AH$15:AH$42,[14]Налоги!$A$15:$A$42,$A213,[14]Налоги!$M$15:$M$42,$B213)</f>
        <v>0</v>
      </c>
      <c r="AJ213" s="566">
        <f>SUMIFS([14]Налоги!AI$15:AI$42,[14]Налоги!$A$15:$A$42,$A213,[14]Налоги!$M$15:$M$42,$B213)</f>
        <v>0</v>
      </c>
      <c r="AK213" s="566">
        <f>SUMIFS([14]Налоги!AJ$15:AJ$42,[14]Налоги!$A$15:$A$42,$A213,[14]Налоги!$M$15:$M$42,$B213)</f>
        <v>0</v>
      </c>
      <c r="AL213" s="566">
        <f>SUMIFS([14]Налоги!AK$15:AK$42,[14]Налоги!$A$15:$A$42,$A213,[14]Налоги!$M$15:$M$42,$B213)</f>
        <v>0</v>
      </c>
      <c r="AM213" s="566">
        <f>SUMIFS([14]Налоги!AL$15:AL$42,[14]Налоги!$A$15:$A$42,$A213,[14]Налоги!$M$15:$M$42,$B213)</f>
        <v>0</v>
      </c>
      <c r="AN213" s="562">
        <f t="shared" si="42"/>
        <v>0</v>
      </c>
      <c r="AO213" s="562">
        <f t="shared" si="45"/>
        <v>0</v>
      </c>
      <c r="AP213" s="562">
        <f t="shared" si="45"/>
        <v>0</v>
      </c>
      <c r="AQ213" s="562">
        <f t="shared" si="45"/>
        <v>0</v>
      </c>
      <c r="AR213" s="562">
        <f t="shared" si="45"/>
        <v>0</v>
      </c>
      <c r="AS213" s="562">
        <f t="shared" si="45"/>
        <v>0</v>
      </c>
      <c r="AT213" s="562">
        <f t="shared" si="45"/>
        <v>0</v>
      </c>
      <c r="AU213" s="562">
        <f t="shared" si="45"/>
        <v>0</v>
      </c>
      <c r="AV213" s="562">
        <f t="shared" si="45"/>
        <v>0</v>
      </c>
      <c r="AW213" s="562">
        <f t="shared" si="45"/>
        <v>0</v>
      </c>
      <c r="AX213" s="548"/>
      <c r="AY213" s="548"/>
      <c r="AZ213" s="548"/>
    </row>
    <row r="214" spans="1:52" ht="11.25" outlineLevel="1" x14ac:dyDescent="0.25">
      <c r="A214" s="540" t="str">
        <f t="shared" si="44"/>
        <v>2</v>
      </c>
      <c r="B214" s="520" t="s">
        <v>797</v>
      </c>
      <c r="D214" s="520" t="s">
        <v>798</v>
      </c>
      <c r="L214" s="551" t="s">
        <v>799</v>
      </c>
      <c r="M214" s="560" t="s">
        <v>800</v>
      </c>
      <c r="N214" s="553" t="s">
        <v>123</v>
      </c>
      <c r="O214" s="562">
        <v>11.44</v>
      </c>
      <c r="P214" s="562">
        <v>0</v>
      </c>
      <c r="Q214" s="562">
        <v>0</v>
      </c>
      <c r="R214" s="562">
        <v>0</v>
      </c>
      <c r="S214" s="562">
        <v>15.97</v>
      </c>
      <c r="T214" s="562">
        <v>18.84</v>
      </c>
      <c r="U214" s="562">
        <v>0</v>
      </c>
      <c r="V214" s="562">
        <v>0</v>
      </c>
      <c r="W214" s="562">
        <v>0</v>
      </c>
      <c r="X214" s="562">
        <v>0</v>
      </c>
      <c r="Y214" s="562">
        <v>0</v>
      </c>
      <c r="Z214" s="562">
        <v>0</v>
      </c>
      <c r="AA214" s="562">
        <v>0</v>
      </c>
      <c r="AB214" s="562">
        <v>0</v>
      </c>
      <c r="AC214" s="562">
        <v>0</v>
      </c>
      <c r="AD214" s="562">
        <v>18.84</v>
      </c>
      <c r="AE214" s="562">
        <f>SUMIFS([14]Налоги!AD$15:AD$42,[14]Налоги!$A$15:$A$42,$A214,[14]Налоги!$M$15:$M$42,$B214)</f>
        <v>7.8902286136999997</v>
      </c>
      <c r="AF214" s="562">
        <f>SUMIFS([14]Налоги!AE$15:AE$42,[14]Налоги!$A$15:$A$42,$A214,[14]Налоги!$M$15:$M$42,$B214)</f>
        <v>8.1867792980999994</v>
      </c>
      <c r="AG214" s="562">
        <f>SUMIFS([14]Налоги!AF$15:AF$42,[14]Налоги!$A$15:$A$42,$A214,[14]Налоги!$M$15:$M$42,$B214)</f>
        <v>8.4951920099000002</v>
      </c>
      <c r="AH214" s="562">
        <f>SUMIFS([14]Налоги!AG$15:AG$42,[14]Налоги!$A$15:$A$42,$A214,[14]Налоги!$M$15:$M$42,$B214)</f>
        <v>0</v>
      </c>
      <c r="AI214" s="562">
        <f>SUMIFS([14]Налоги!AH$15:AH$42,[14]Налоги!$A$15:$A$42,$A214,[14]Налоги!$M$15:$M$42,$B214)</f>
        <v>0</v>
      </c>
      <c r="AJ214" s="562">
        <f>SUMIFS([14]Налоги!AI$15:AI$42,[14]Налоги!$A$15:$A$42,$A214,[14]Налоги!$M$15:$M$42,$B214)</f>
        <v>0</v>
      </c>
      <c r="AK214" s="562">
        <f>SUMIFS([14]Налоги!AJ$15:AJ$42,[14]Налоги!$A$15:$A$42,$A214,[14]Налоги!$M$15:$M$42,$B214)</f>
        <v>0</v>
      </c>
      <c r="AL214" s="562">
        <f>SUMIFS([14]Налоги!AK$15:AK$42,[14]Налоги!$A$15:$A$42,$A214,[14]Налоги!$M$15:$M$42,$B214)</f>
        <v>0</v>
      </c>
      <c r="AM214" s="562">
        <f>SUMIFS([14]Налоги!AL$15:AL$42,[14]Налоги!$A$15:$A$42,$A214,[14]Налоги!$M$15:$M$42,$B214)</f>
        <v>0</v>
      </c>
      <c r="AN214" s="562">
        <f t="shared" si="42"/>
        <v>17.971195992485907</v>
      </c>
      <c r="AO214" s="562">
        <f t="shared" si="45"/>
        <v>-58.119805659766456</v>
      </c>
      <c r="AP214" s="562">
        <f t="shared" si="45"/>
        <v>3.7584549056676422</v>
      </c>
      <c r="AQ214" s="562">
        <f t="shared" si="45"/>
        <v>3.7672044227646118</v>
      </c>
      <c r="AR214" s="562">
        <f t="shared" si="45"/>
        <v>-100</v>
      </c>
      <c r="AS214" s="562">
        <f t="shared" si="45"/>
        <v>0</v>
      </c>
      <c r="AT214" s="562">
        <f t="shared" si="45"/>
        <v>0</v>
      </c>
      <c r="AU214" s="562">
        <f t="shared" si="45"/>
        <v>0</v>
      </c>
      <c r="AV214" s="562">
        <f t="shared" si="45"/>
        <v>0</v>
      </c>
      <c r="AW214" s="562">
        <f t="shared" si="45"/>
        <v>0</v>
      </c>
      <c r="AX214" s="548"/>
      <c r="AY214" s="548"/>
      <c r="AZ214" s="548"/>
    </row>
    <row r="215" spans="1:52" ht="11.25" hidden="1" outlineLevel="1" x14ac:dyDescent="0.25">
      <c r="A215" s="540" t="str">
        <f t="shared" si="44"/>
        <v>2</v>
      </c>
      <c r="B215" s="520" t="s">
        <v>180</v>
      </c>
      <c r="D215" s="520" t="s">
        <v>801</v>
      </c>
      <c r="L215" s="551" t="s">
        <v>802</v>
      </c>
      <c r="M215" s="586" t="s">
        <v>803</v>
      </c>
      <c r="N215" s="553" t="s">
        <v>123</v>
      </c>
      <c r="O215" s="562">
        <v>0</v>
      </c>
      <c r="P215" s="562">
        <v>0</v>
      </c>
      <c r="Q215" s="562">
        <v>0</v>
      </c>
      <c r="R215" s="562">
        <v>0</v>
      </c>
      <c r="S215" s="562">
        <v>0</v>
      </c>
      <c r="T215" s="562">
        <v>0</v>
      </c>
      <c r="U215" s="562">
        <v>0</v>
      </c>
      <c r="V215" s="562">
        <v>0</v>
      </c>
      <c r="W215" s="562">
        <v>0</v>
      </c>
      <c r="X215" s="562">
        <v>0</v>
      </c>
      <c r="Y215" s="562">
        <v>0</v>
      </c>
      <c r="Z215" s="562">
        <v>0</v>
      </c>
      <c r="AA215" s="562">
        <v>0</v>
      </c>
      <c r="AB215" s="562">
        <v>0</v>
      </c>
      <c r="AC215" s="562">
        <v>0</v>
      </c>
      <c r="AD215" s="562">
        <v>0</v>
      </c>
      <c r="AE215" s="562">
        <f>SUMIFS([14]Налоги!AD$15:AD$42,[14]Налоги!$A$15:$A$42,$A215,[14]Налоги!$M$15:$M$42,$B215)</f>
        <v>0</v>
      </c>
      <c r="AF215" s="562">
        <f>SUMIFS([14]Налоги!AE$15:AE$42,[14]Налоги!$A$15:$A$42,$A215,[14]Налоги!$M$15:$M$42,$B215)</f>
        <v>0</v>
      </c>
      <c r="AG215" s="562">
        <f>SUMIFS([14]Налоги!AF$15:AF$42,[14]Налоги!$A$15:$A$42,$A215,[14]Налоги!$M$15:$M$42,$B215)</f>
        <v>0</v>
      </c>
      <c r="AH215" s="562">
        <f>SUMIFS([14]Налоги!AG$15:AG$42,[14]Налоги!$A$15:$A$42,$A215,[14]Налоги!$M$15:$M$42,$B215)</f>
        <v>0</v>
      </c>
      <c r="AI215" s="562">
        <f>SUMIFS([14]Налоги!AH$15:AH$42,[14]Налоги!$A$15:$A$42,$A215,[14]Налоги!$M$15:$M$42,$B215)</f>
        <v>0</v>
      </c>
      <c r="AJ215" s="562">
        <f>SUMIFS([14]Налоги!AI$15:AI$42,[14]Налоги!$A$15:$A$42,$A215,[14]Налоги!$M$15:$M$42,$B215)</f>
        <v>0</v>
      </c>
      <c r="AK215" s="562">
        <f>SUMIFS([14]Налоги!AJ$15:AJ$42,[14]Налоги!$A$15:$A$42,$A215,[14]Налоги!$M$15:$M$42,$B215)</f>
        <v>0</v>
      </c>
      <c r="AL215" s="562">
        <f>SUMIFS([14]Налоги!AK$15:AK$42,[14]Налоги!$A$15:$A$42,$A215,[14]Налоги!$M$15:$M$42,$B215)</f>
        <v>0</v>
      </c>
      <c r="AM215" s="562">
        <f>SUMIFS([14]Налоги!AL$15:AL$42,[14]Налоги!$A$15:$A$42,$A215,[14]Налоги!$M$15:$M$42,$B215)</f>
        <v>0</v>
      </c>
      <c r="AN215" s="562">
        <f t="shared" si="42"/>
        <v>0</v>
      </c>
      <c r="AO215" s="562">
        <f t="shared" si="45"/>
        <v>0</v>
      </c>
      <c r="AP215" s="562">
        <f t="shared" si="45"/>
        <v>0</v>
      </c>
      <c r="AQ215" s="562">
        <f t="shared" si="45"/>
        <v>0</v>
      </c>
      <c r="AR215" s="562">
        <f t="shared" si="45"/>
        <v>0</v>
      </c>
      <c r="AS215" s="562">
        <f t="shared" si="45"/>
        <v>0</v>
      </c>
      <c r="AT215" s="562">
        <f t="shared" si="45"/>
        <v>0</v>
      </c>
      <c r="AU215" s="562">
        <f t="shared" si="45"/>
        <v>0</v>
      </c>
      <c r="AV215" s="562">
        <f t="shared" si="45"/>
        <v>0</v>
      </c>
      <c r="AW215" s="562">
        <f t="shared" si="45"/>
        <v>0</v>
      </c>
      <c r="AX215" s="548"/>
      <c r="AY215" s="548"/>
      <c r="AZ215" s="548"/>
    </row>
    <row r="216" spans="1:52" ht="67.5" hidden="1" outlineLevel="1" x14ac:dyDescent="0.25">
      <c r="A216" s="540" t="str">
        <f t="shared" si="44"/>
        <v>2</v>
      </c>
      <c r="B216" s="520" t="s">
        <v>804</v>
      </c>
      <c r="D216" s="520" t="s">
        <v>805</v>
      </c>
      <c r="L216" s="551" t="s">
        <v>806</v>
      </c>
      <c r="M216" s="587" t="s">
        <v>807</v>
      </c>
      <c r="N216" s="553" t="s">
        <v>123</v>
      </c>
      <c r="O216" s="588"/>
      <c r="P216" s="588"/>
      <c r="Q216" s="588"/>
      <c r="R216" s="562">
        <v>0</v>
      </c>
      <c r="S216" s="588"/>
      <c r="T216" s="588"/>
      <c r="U216" s="588"/>
      <c r="V216" s="588"/>
      <c r="W216" s="588"/>
      <c r="X216" s="588"/>
      <c r="Y216" s="588"/>
      <c r="Z216" s="588"/>
      <c r="AA216" s="588"/>
      <c r="AB216" s="588"/>
      <c r="AC216" s="588"/>
      <c r="AD216" s="588"/>
      <c r="AE216" s="588"/>
      <c r="AF216" s="588"/>
      <c r="AG216" s="588"/>
      <c r="AH216" s="588"/>
      <c r="AI216" s="588"/>
      <c r="AJ216" s="588"/>
      <c r="AK216" s="588"/>
      <c r="AL216" s="588"/>
      <c r="AM216" s="588"/>
      <c r="AN216" s="562">
        <f t="shared" si="42"/>
        <v>0</v>
      </c>
      <c r="AO216" s="562">
        <f t="shared" si="45"/>
        <v>0</v>
      </c>
      <c r="AP216" s="562">
        <f t="shared" si="45"/>
        <v>0</v>
      </c>
      <c r="AQ216" s="562">
        <f t="shared" si="45"/>
        <v>0</v>
      </c>
      <c r="AR216" s="562">
        <f t="shared" si="45"/>
        <v>0</v>
      </c>
      <c r="AS216" s="562">
        <f t="shared" si="45"/>
        <v>0</v>
      </c>
      <c r="AT216" s="562">
        <f t="shared" si="45"/>
        <v>0</v>
      </c>
      <c r="AU216" s="562">
        <f t="shared" si="45"/>
        <v>0</v>
      </c>
      <c r="AV216" s="562">
        <f t="shared" si="45"/>
        <v>0</v>
      </c>
      <c r="AW216" s="562">
        <f t="shared" si="45"/>
        <v>0</v>
      </c>
      <c r="AX216" s="548"/>
      <c r="AY216" s="548"/>
      <c r="AZ216" s="548"/>
    </row>
    <row r="217" spans="1:52" ht="11.25" hidden="1" outlineLevel="1" x14ac:dyDescent="0.25">
      <c r="A217" s="540" t="str">
        <f t="shared" si="44"/>
        <v>2</v>
      </c>
      <c r="B217" s="520" t="s">
        <v>808</v>
      </c>
      <c r="D217" s="520" t="s">
        <v>809</v>
      </c>
      <c r="L217" s="551" t="s">
        <v>810</v>
      </c>
      <c r="M217" s="552" t="s">
        <v>808</v>
      </c>
      <c r="N217" s="553" t="s">
        <v>123</v>
      </c>
      <c r="O217" s="562">
        <v>0</v>
      </c>
      <c r="P217" s="562">
        <v>0</v>
      </c>
      <c r="Q217" s="562">
        <v>0</v>
      </c>
      <c r="R217" s="562">
        <v>0</v>
      </c>
      <c r="S217" s="562">
        <v>0</v>
      </c>
      <c r="T217" s="562">
        <v>0</v>
      </c>
      <c r="U217" s="562">
        <v>0</v>
      </c>
      <c r="V217" s="562">
        <v>0</v>
      </c>
      <c r="W217" s="562">
        <v>0</v>
      </c>
      <c r="X217" s="562">
        <v>0</v>
      </c>
      <c r="Y217" s="562">
        <v>0</v>
      </c>
      <c r="Z217" s="562">
        <v>0</v>
      </c>
      <c r="AA217" s="562">
        <v>0</v>
      </c>
      <c r="AB217" s="562">
        <v>0</v>
      </c>
      <c r="AC217" s="562">
        <v>0</v>
      </c>
      <c r="AD217" s="562">
        <v>0</v>
      </c>
      <c r="AE217" s="562">
        <f>SUMIFS([14]Аренда!AD$15:AD$32,[14]Аренда!$A$15:$A$32,$A217,[14]Аренда!$M$15:$M$32,"Арендная и концессионная плата. Лизинговые платежи")</f>
        <v>0</v>
      </c>
      <c r="AF217" s="562">
        <f>SUMIFS([14]Аренда!AE$15:AE$32,[14]Аренда!$A$15:$A$32,$A217,[14]Аренда!$M$15:$M$32,"Арендная и концессионная плата. Лизинговые платежи")</f>
        <v>0</v>
      </c>
      <c r="AG217" s="562">
        <f>SUMIFS([14]Аренда!AF$15:AF$32,[14]Аренда!$A$15:$A$32,$A217,[14]Аренда!$M$15:$M$32,"Арендная и концессионная плата. Лизинговые платежи")</f>
        <v>0</v>
      </c>
      <c r="AH217" s="562">
        <f>SUMIFS([14]Аренда!AG$15:AG$32,[14]Аренда!$A$15:$A$32,$A217,[14]Аренда!$M$15:$M$32,"Арендная и концессионная плата. Лизинговые платежи")</f>
        <v>0</v>
      </c>
      <c r="AI217" s="562">
        <f>SUMIFS([14]Аренда!AH$15:AH$32,[14]Аренда!$A$15:$A$32,$A217,[14]Аренда!$M$15:$M$32,"Арендная и концессионная плата. Лизинговые платежи")</f>
        <v>0</v>
      </c>
      <c r="AJ217" s="562">
        <f>SUMIFS([14]Аренда!AI$15:AI$32,[14]Аренда!$A$15:$A$32,$A217,[14]Аренда!$M$15:$M$32,"Арендная и концессионная плата. Лизинговые платежи")</f>
        <v>0</v>
      </c>
      <c r="AK217" s="562">
        <f>SUMIFS([14]Аренда!AJ$15:AJ$32,[14]Аренда!$A$15:$A$32,$A217,[14]Аренда!$M$15:$M$32,"Арендная и концессионная плата. Лизинговые платежи")</f>
        <v>0</v>
      </c>
      <c r="AL217" s="562">
        <f>SUMIFS([14]Аренда!AK$15:AK$32,[14]Аренда!$A$15:$A$32,$A217,[14]Аренда!$M$15:$M$32,"Арендная и концессионная плата. Лизинговые платежи")</f>
        <v>0</v>
      </c>
      <c r="AM217" s="562">
        <f>SUMIFS([14]Аренда!AL$15:AL$32,[14]Аренда!$A$15:$A$32,$A217,[14]Аренда!$M$15:$M$32,"Арендная и концессионная плата. Лизинговые платежи")</f>
        <v>0</v>
      </c>
      <c r="AN217" s="562">
        <f t="shared" si="42"/>
        <v>0</v>
      </c>
      <c r="AO217" s="562">
        <f t="shared" si="45"/>
        <v>0</v>
      </c>
      <c r="AP217" s="562">
        <f t="shared" si="45"/>
        <v>0</v>
      </c>
      <c r="AQ217" s="562">
        <f t="shared" si="45"/>
        <v>0</v>
      </c>
      <c r="AR217" s="562">
        <f t="shared" si="45"/>
        <v>0</v>
      </c>
      <c r="AS217" s="562">
        <f t="shared" si="45"/>
        <v>0</v>
      </c>
      <c r="AT217" s="562">
        <f t="shared" si="45"/>
        <v>0</v>
      </c>
      <c r="AU217" s="562">
        <f t="shared" si="45"/>
        <v>0</v>
      </c>
      <c r="AV217" s="562">
        <f t="shared" si="45"/>
        <v>0</v>
      </c>
      <c r="AW217" s="562">
        <f t="shared" si="45"/>
        <v>0</v>
      </c>
      <c r="AX217" s="548"/>
      <c r="AY217" s="548"/>
      <c r="AZ217" s="548"/>
    </row>
    <row r="218" spans="1:52" ht="11.25" hidden="1" outlineLevel="1" x14ac:dyDescent="0.25">
      <c r="A218" s="540" t="str">
        <f t="shared" si="44"/>
        <v>2</v>
      </c>
      <c r="D218" s="520" t="s">
        <v>811</v>
      </c>
      <c r="L218" s="551" t="s">
        <v>812</v>
      </c>
      <c r="M218" s="552" t="s">
        <v>193</v>
      </c>
      <c r="N218" s="553" t="s">
        <v>123</v>
      </c>
      <c r="O218" s="566">
        <v>0</v>
      </c>
      <c r="P218" s="566"/>
      <c r="Q218" s="566"/>
      <c r="R218" s="562">
        <v>0</v>
      </c>
      <c r="S218" s="566">
        <v>0</v>
      </c>
      <c r="T218" s="566">
        <v>0</v>
      </c>
      <c r="U218" s="566">
        <v>0</v>
      </c>
      <c r="V218" s="566">
        <v>0</v>
      </c>
      <c r="W218" s="566">
        <v>0</v>
      </c>
      <c r="X218" s="566"/>
      <c r="Y218" s="566"/>
      <c r="Z218" s="566"/>
      <c r="AA218" s="566"/>
      <c r="AB218" s="566"/>
      <c r="AC218" s="566"/>
      <c r="AD218" s="566">
        <v>0</v>
      </c>
      <c r="AE218" s="566">
        <v>0</v>
      </c>
      <c r="AF218" s="566">
        <v>0</v>
      </c>
      <c r="AG218" s="566">
        <v>0</v>
      </c>
      <c r="AH218" s="566"/>
      <c r="AI218" s="566"/>
      <c r="AJ218" s="566"/>
      <c r="AK218" s="566"/>
      <c r="AL218" s="566"/>
      <c r="AM218" s="566"/>
      <c r="AN218" s="562">
        <f t="shared" si="42"/>
        <v>0</v>
      </c>
      <c r="AO218" s="562">
        <f t="shared" si="45"/>
        <v>0</v>
      </c>
      <c r="AP218" s="562">
        <f t="shared" si="45"/>
        <v>0</v>
      </c>
      <c r="AQ218" s="562">
        <f t="shared" si="45"/>
        <v>0</v>
      </c>
      <c r="AR218" s="562">
        <f t="shared" si="45"/>
        <v>0</v>
      </c>
      <c r="AS218" s="562">
        <f t="shared" si="45"/>
        <v>0</v>
      </c>
      <c r="AT218" s="562">
        <f t="shared" si="45"/>
        <v>0</v>
      </c>
      <c r="AU218" s="562">
        <f t="shared" si="45"/>
        <v>0</v>
      </c>
      <c r="AV218" s="562">
        <f t="shared" si="45"/>
        <v>0</v>
      </c>
      <c r="AW218" s="562">
        <f t="shared" si="45"/>
        <v>0</v>
      </c>
      <c r="AX218" s="548"/>
      <c r="AY218" s="548"/>
      <c r="AZ218" s="548"/>
    </row>
    <row r="219" spans="1:52" ht="11.25" hidden="1" outlineLevel="1" x14ac:dyDescent="0.25">
      <c r="A219" s="540" t="str">
        <f t="shared" si="44"/>
        <v>2</v>
      </c>
      <c r="B219" s="520" t="s">
        <v>813</v>
      </c>
      <c r="D219" s="520" t="s">
        <v>814</v>
      </c>
      <c r="L219" s="551" t="s">
        <v>815</v>
      </c>
      <c r="M219" s="560" t="s">
        <v>813</v>
      </c>
      <c r="N219" s="553" t="s">
        <v>123</v>
      </c>
      <c r="O219" s="566">
        <v>0</v>
      </c>
      <c r="P219" s="566"/>
      <c r="Q219" s="566"/>
      <c r="R219" s="562">
        <v>0</v>
      </c>
      <c r="S219" s="566">
        <v>0</v>
      </c>
      <c r="T219" s="566"/>
      <c r="U219" s="566"/>
      <c r="V219" s="566"/>
      <c r="W219" s="566"/>
      <c r="X219" s="566"/>
      <c r="Y219" s="566"/>
      <c r="Z219" s="566"/>
      <c r="AA219" s="566"/>
      <c r="AB219" s="566"/>
      <c r="AC219" s="566"/>
      <c r="AD219" s="566"/>
      <c r="AE219" s="566"/>
      <c r="AF219" s="566"/>
      <c r="AG219" s="566"/>
      <c r="AH219" s="566"/>
      <c r="AI219" s="566"/>
      <c r="AJ219" s="566"/>
      <c r="AK219" s="566"/>
      <c r="AL219" s="566"/>
      <c r="AM219" s="566"/>
      <c r="AN219" s="562">
        <f t="shared" si="42"/>
        <v>0</v>
      </c>
      <c r="AO219" s="562">
        <f t="shared" si="45"/>
        <v>0</v>
      </c>
      <c r="AP219" s="562">
        <f t="shared" si="45"/>
        <v>0</v>
      </c>
      <c r="AQ219" s="562">
        <f t="shared" si="45"/>
        <v>0</v>
      </c>
      <c r="AR219" s="562">
        <f t="shared" si="45"/>
        <v>0</v>
      </c>
      <c r="AS219" s="562">
        <f t="shared" si="45"/>
        <v>0</v>
      </c>
      <c r="AT219" s="562">
        <f t="shared" si="45"/>
        <v>0</v>
      </c>
      <c r="AU219" s="562">
        <f t="shared" si="45"/>
        <v>0</v>
      </c>
      <c r="AV219" s="562">
        <f t="shared" si="45"/>
        <v>0</v>
      </c>
      <c r="AW219" s="562">
        <f t="shared" si="45"/>
        <v>0</v>
      </c>
      <c r="AX219" s="548"/>
      <c r="AY219" s="548"/>
      <c r="AZ219" s="548"/>
    </row>
    <row r="220" spans="1:52" ht="11.25" hidden="1" outlineLevel="1" x14ac:dyDescent="0.25">
      <c r="A220" s="540" t="str">
        <f t="shared" si="44"/>
        <v>2</v>
      </c>
      <c r="B220" s="520" t="s">
        <v>195</v>
      </c>
      <c r="D220" s="520" t="s">
        <v>816</v>
      </c>
      <c r="L220" s="551" t="s">
        <v>817</v>
      </c>
      <c r="M220" s="552" t="s">
        <v>195</v>
      </c>
      <c r="N220" s="553" t="s">
        <v>123</v>
      </c>
      <c r="O220" s="566">
        <v>0</v>
      </c>
      <c r="P220" s="566"/>
      <c r="Q220" s="566"/>
      <c r="R220" s="562">
        <v>0</v>
      </c>
      <c r="S220" s="566">
        <v>0</v>
      </c>
      <c r="T220" s="566">
        <v>0</v>
      </c>
      <c r="U220" s="566">
        <v>0</v>
      </c>
      <c r="V220" s="566">
        <v>0</v>
      </c>
      <c r="W220" s="566">
        <v>0</v>
      </c>
      <c r="X220" s="566">
        <v>0</v>
      </c>
      <c r="Y220" s="566">
        <v>0</v>
      </c>
      <c r="Z220" s="566">
        <v>0</v>
      </c>
      <c r="AA220" s="566">
        <v>0</v>
      </c>
      <c r="AB220" s="566">
        <v>0</v>
      </c>
      <c r="AC220" s="566">
        <v>0</v>
      </c>
      <c r="AD220" s="566">
        <v>0</v>
      </c>
      <c r="AE220" s="566">
        <v>0</v>
      </c>
      <c r="AF220" s="566">
        <v>0</v>
      </c>
      <c r="AG220" s="566">
        <v>0</v>
      </c>
      <c r="AH220" s="566">
        <f>SUMIFS([14]Экономия_корр!AC$15:AC$32,[14]Экономия_корр!$A$15:$A$32,$A220,[14]Экономия_корр!$M$15:$M$32,"Экономия расходов с учетом ИПЦ")</f>
        <v>0</v>
      </c>
      <c r="AI220" s="566">
        <f>SUMIFS([14]Экономия_корр!AD$15:AD$32,[14]Экономия_корр!$A$15:$A$32,$A220,[14]Экономия_корр!$M$15:$M$32,"Экономия расходов с учетом ИПЦ")</f>
        <v>0</v>
      </c>
      <c r="AJ220" s="566">
        <f>SUMIFS([14]Экономия_корр!AE$15:AE$32,[14]Экономия_корр!$A$15:$A$32,$A220,[14]Экономия_корр!$M$15:$M$32,"Экономия расходов с учетом ИПЦ")</f>
        <v>0</v>
      </c>
      <c r="AK220" s="566">
        <f>SUMIFS([14]Экономия_корр!AF$15:AF$32,[14]Экономия_корр!$A$15:$A$32,$A220,[14]Экономия_корр!$M$15:$M$32,"Экономия расходов с учетом ИПЦ")</f>
        <v>0</v>
      </c>
      <c r="AL220" s="566">
        <f>SUMIFS([14]Экономия_корр!AG$15:AG$32,[14]Экономия_корр!$A$15:$A$32,$A220,[14]Экономия_корр!$M$15:$M$32,"Экономия расходов с учетом ИПЦ")</f>
        <v>0</v>
      </c>
      <c r="AM220" s="566">
        <f>SUMIFS([14]Экономия_корр!AH$15:AH$32,[14]Экономия_корр!$A$15:$A$32,$A220,[14]Экономия_корр!$M$15:$M$32,"Экономия расходов с учетом ИПЦ")</f>
        <v>0</v>
      </c>
      <c r="AN220" s="562">
        <f t="shared" si="42"/>
        <v>0</v>
      </c>
      <c r="AO220" s="562">
        <f t="shared" si="45"/>
        <v>0</v>
      </c>
      <c r="AP220" s="562">
        <f t="shared" si="45"/>
        <v>0</v>
      </c>
      <c r="AQ220" s="562">
        <f t="shared" si="45"/>
        <v>0</v>
      </c>
      <c r="AR220" s="562">
        <f t="shared" si="45"/>
        <v>0</v>
      </c>
      <c r="AS220" s="562">
        <f t="shared" si="45"/>
        <v>0</v>
      </c>
      <c r="AT220" s="562">
        <f t="shared" si="45"/>
        <v>0</v>
      </c>
      <c r="AU220" s="562">
        <f t="shared" si="45"/>
        <v>0</v>
      </c>
      <c r="AV220" s="562">
        <f t="shared" si="45"/>
        <v>0</v>
      </c>
      <c r="AW220" s="562">
        <f t="shared" si="45"/>
        <v>0</v>
      </c>
      <c r="AX220" s="548"/>
      <c r="AY220" s="548"/>
      <c r="AZ220" s="548"/>
    </row>
    <row r="221" spans="1:52" ht="11.25" hidden="1" outlineLevel="1" x14ac:dyDescent="0.25">
      <c r="A221" s="540" t="str">
        <f t="shared" si="44"/>
        <v>2</v>
      </c>
      <c r="B221" s="520" t="s">
        <v>197</v>
      </c>
      <c r="D221" s="520" t="s">
        <v>818</v>
      </c>
      <c r="L221" s="551" t="s">
        <v>819</v>
      </c>
      <c r="M221" s="552" t="s">
        <v>197</v>
      </c>
      <c r="N221" s="553" t="s">
        <v>123</v>
      </c>
      <c r="O221" s="566">
        <v>0</v>
      </c>
      <c r="P221" s="566"/>
      <c r="Q221" s="566"/>
      <c r="R221" s="562">
        <v>0</v>
      </c>
      <c r="S221" s="566"/>
      <c r="T221" s="566"/>
      <c r="U221" s="566"/>
      <c r="V221" s="566"/>
      <c r="W221" s="566"/>
      <c r="X221" s="566"/>
      <c r="Y221" s="566"/>
      <c r="Z221" s="566"/>
      <c r="AA221" s="566"/>
      <c r="AB221" s="566"/>
      <c r="AC221" s="566"/>
      <c r="AD221" s="566"/>
      <c r="AE221" s="566"/>
      <c r="AF221" s="566"/>
      <c r="AG221" s="566"/>
      <c r="AH221" s="566"/>
      <c r="AI221" s="566"/>
      <c r="AJ221" s="566"/>
      <c r="AK221" s="566"/>
      <c r="AL221" s="566"/>
      <c r="AM221" s="566"/>
      <c r="AN221" s="562">
        <f t="shared" si="42"/>
        <v>0</v>
      </c>
      <c r="AO221" s="562">
        <f t="shared" si="45"/>
        <v>0</v>
      </c>
      <c r="AP221" s="562">
        <f t="shared" si="45"/>
        <v>0</v>
      </c>
      <c r="AQ221" s="562">
        <f t="shared" si="45"/>
        <v>0</v>
      </c>
      <c r="AR221" s="562">
        <f t="shared" si="45"/>
        <v>0</v>
      </c>
      <c r="AS221" s="562">
        <f t="shared" si="45"/>
        <v>0</v>
      </c>
      <c r="AT221" s="562">
        <f t="shared" si="45"/>
        <v>0</v>
      </c>
      <c r="AU221" s="562">
        <f t="shared" si="45"/>
        <v>0</v>
      </c>
      <c r="AV221" s="562">
        <f t="shared" si="45"/>
        <v>0</v>
      </c>
      <c r="AW221" s="562">
        <f t="shared" si="45"/>
        <v>0</v>
      </c>
      <c r="AX221" s="548"/>
      <c r="AY221" s="548"/>
      <c r="AZ221" s="548"/>
    </row>
    <row r="222" spans="1:52" ht="11.25" hidden="1" outlineLevel="1" x14ac:dyDescent="0.25">
      <c r="A222" s="540" t="str">
        <f t="shared" si="44"/>
        <v>2</v>
      </c>
      <c r="B222" s="520" t="s">
        <v>199</v>
      </c>
      <c r="D222" s="520" t="s">
        <v>820</v>
      </c>
      <c r="L222" s="551" t="s">
        <v>821</v>
      </c>
      <c r="M222" s="552" t="s">
        <v>199</v>
      </c>
      <c r="N222" s="553" t="s">
        <v>123</v>
      </c>
      <c r="O222" s="566">
        <v>0</v>
      </c>
      <c r="P222" s="566"/>
      <c r="Q222" s="566"/>
      <c r="R222" s="562">
        <v>0</v>
      </c>
      <c r="S222" s="566"/>
      <c r="T222" s="566"/>
      <c r="U222" s="566"/>
      <c r="V222" s="566"/>
      <c r="W222" s="566"/>
      <c r="X222" s="566"/>
      <c r="Y222" s="566"/>
      <c r="Z222" s="566"/>
      <c r="AA222" s="566"/>
      <c r="AB222" s="566"/>
      <c r="AC222" s="566"/>
      <c r="AD222" s="566"/>
      <c r="AE222" s="566"/>
      <c r="AF222" s="566"/>
      <c r="AG222" s="566"/>
      <c r="AH222" s="566"/>
      <c r="AI222" s="566"/>
      <c r="AJ222" s="566"/>
      <c r="AK222" s="566"/>
      <c r="AL222" s="566"/>
      <c r="AM222" s="566"/>
      <c r="AN222" s="562">
        <f t="shared" si="42"/>
        <v>0</v>
      </c>
      <c r="AO222" s="562">
        <f t="shared" si="45"/>
        <v>0</v>
      </c>
      <c r="AP222" s="562">
        <f t="shared" si="45"/>
        <v>0</v>
      </c>
      <c r="AQ222" s="562">
        <f t="shared" si="45"/>
        <v>0</v>
      </c>
      <c r="AR222" s="562">
        <f t="shared" si="45"/>
        <v>0</v>
      </c>
      <c r="AS222" s="562">
        <f t="shared" si="45"/>
        <v>0</v>
      </c>
      <c r="AT222" s="562">
        <f t="shared" si="45"/>
        <v>0</v>
      </c>
      <c r="AU222" s="562">
        <f t="shared" si="45"/>
        <v>0</v>
      </c>
      <c r="AV222" s="562">
        <f t="shared" si="45"/>
        <v>0</v>
      </c>
      <c r="AW222" s="562">
        <f t="shared" si="45"/>
        <v>0</v>
      </c>
      <c r="AX222" s="548"/>
      <c r="AY222" s="548"/>
      <c r="AZ222" s="548"/>
    </row>
    <row r="223" spans="1:52" ht="11.25" hidden="1" outlineLevel="1" x14ac:dyDescent="0.25">
      <c r="A223" s="540" t="str">
        <f t="shared" si="44"/>
        <v>2</v>
      </c>
      <c r="B223" s="520" t="s">
        <v>205</v>
      </c>
      <c r="D223" s="520" t="s">
        <v>822</v>
      </c>
      <c r="L223" s="551" t="s">
        <v>823</v>
      </c>
      <c r="M223" s="552" t="s">
        <v>205</v>
      </c>
      <c r="N223" s="553" t="s">
        <v>123</v>
      </c>
      <c r="O223" s="568">
        <v>0</v>
      </c>
      <c r="P223" s="562">
        <v>0</v>
      </c>
      <c r="Q223" s="562">
        <v>0</v>
      </c>
      <c r="R223" s="562">
        <v>0</v>
      </c>
      <c r="S223" s="562">
        <v>0</v>
      </c>
      <c r="T223" s="568">
        <v>0</v>
      </c>
      <c r="U223" s="562">
        <v>0</v>
      </c>
      <c r="V223" s="562">
        <v>0</v>
      </c>
      <c r="W223" s="562">
        <v>0</v>
      </c>
      <c r="X223" s="562">
        <v>0</v>
      </c>
      <c r="Y223" s="562">
        <v>0</v>
      </c>
      <c r="Z223" s="562">
        <v>0</v>
      </c>
      <c r="AA223" s="562">
        <v>0</v>
      </c>
      <c r="AB223" s="562">
        <v>0</v>
      </c>
      <c r="AC223" s="562">
        <v>0</v>
      </c>
      <c r="AD223" s="568">
        <v>0</v>
      </c>
      <c r="AE223" s="562">
        <f t="shared" ref="AE223:AM223" si="46">SUM(AE224,AE225)</f>
        <v>0</v>
      </c>
      <c r="AF223" s="562">
        <f t="shared" si="46"/>
        <v>0</v>
      </c>
      <c r="AG223" s="562">
        <f t="shared" si="46"/>
        <v>0</v>
      </c>
      <c r="AH223" s="562">
        <f t="shared" si="46"/>
        <v>0</v>
      </c>
      <c r="AI223" s="562">
        <f t="shared" si="46"/>
        <v>0</v>
      </c>
      <c r="AJ223" s="562">
        <f t="shared" si="46"/>
        <v>0</v>
      </c>
      <c r="AK223" s="562">
        <f t="shared" si="46"/>
        <v>0</v>
      </c>
      <c r="AL223" s="562">
        <f t="shared" si="46"/>
        <v>0</v>
      </c>
      <c r="AM223" s="562">
        <f t="shared" si="46"/>
        <v>0</v>
      </c>
      <c r="AN223" s="562">
        <f t="shared" si="42"/>
        <v>0</v>
      </c>
      <c r="AO223" s="562">
        <f t="shared" si="45"/>
        <v>0</v>
      </c>
      <c r="AP223" s="562">
        <f t="shared" si="45"/>
        <v>0</v>
      </c>
      <c r="AQ223" s="562">
        <f t="shared" si="45"/>
        <v>0</v>
      </c>
      <c r="AR223" s="562">
        <f t="shared" si="45"/>
        <v>0</v>
      </c>
      <c r="AS223" s="562">
        <f t="shared" si="45"/>
        <v>0</v>
      </c>
      <c r="AT223" s="562">
        <f t="shared" si="45"/>
        <v>0</v>
      </c>
      <c r="AU223" s="562">
        <f t="shared" si="45"/>
        <v>0</v>
      </c>
      <c r="AV223" s="562">
        <f t="shared" si="45"/>
        <v>0</v>
      </c>
      <c r="AW223" s="562">
        <f t="shared" si="45"/>
        <v>0</v>
      </c>
      <c r="AX223" s="548"/>
      <c r="AY223" s="548"/>
      <c r="AZ223" s="548"/>
    </row>
    <row r="224" spans="1:52" ht="11.25" hidden="1" outlineLevel="1" x14ac:dyDescent="0.25">
      <c r="A224" s="540" t="str">
        <f t="shared" si="44"/>
        <v>2</v>
      </c>
      <c r="D224" s="520" t="s">
        <v>824</v>
      </c>
      <c r="L224" s="551" t="s">
        <v>825</v>
      </c>
      <c r="M224" s="560" t="s">
        <v>826</v>
      </c>
      <c r="N224" s="553" t="s">
        <v>123</v>
      </c>
      <c r="O224" s="566">
        <v>0</v>
      </c>
      <c r="P224" s="566"/>
      <c r="Q224" s="566"/>
      <c r="R224" s="562">
        <v>0</v>
      </c>
      <c r="S224" s="566"/>
      <c r="T224" s="566"/>
      <c r="U224" s="566"/>
      <c r="V224" s="566"/>
      <c r="W224" s="566"/>
      <c r="X224" s="566"/>
      <c r="Y224" s="566"/>
      <c r="Z224" s="566"/>
      <c r="AA224" s="566"/>
      <c r="AB224" s="566"/>
      <c r="AC224" s="566"/>
      <c r="AD224" s="566"/>
      <c r="AE224" s="566"/>
      <c r="AF224" s="566"/>
      <c r="AG224" s="566"/>
      <c r="AH224" s="566"/>
      <c r="AI224" s="566"/>
      <c r="AJ224" s="566"/>
      <c r="AK224" s="566"/>
      <c r="AL224" s="566"/>
      <c r="AM224" s="566"/>
      <c r="AN224" s="562">
        <f t="shared" si="42"/>
        <v>0</v>
      </c>
      <c r="AO224" s="562">
        <f t="shared" si="45"/>
        <v>0</v>
      </c>
      <c r="AP224" s="562">
        <f t="shared" si="45"/>
        <v>0</v>
      </c>
      <c r="AQ224" s="562">
        <f t="shared" si="45"/>
        <v>0</v>
      </c>
      <c r="AR224" s="562">
        <f t="shared" si="45"/>
        <v>0</v>
      </c>
      <c r="AS224" s="562">
        <f t="shared" si="45"/>
        <v>0</v>
      </c>
      <c r="AT224" s="562">
        <f t="shared" si="45"/>
        <v>0</v>
      </c>
      <c r="AU224" s="562">
        <f t="shared" si="45"/>
        <v>0</v>
      </c>
      <c r="AV224" s="562">
        <f t="shared" si="45"/>
        <v>0</v>
      </c>
      <c r="AW224" s="562">
        <f t="shared" si="45"/>
        <v>0</v>
      </c>
      <c r="AX224" s="548"/>
      <c r="AY224" s="548"/>
      <c r="AZ224" s="548"/>
    </row>
    <row r="225" spans="1:52" ht="11.25" hidden="1" outlineLevel="1" x14ac:dyDescent="0.25">
      <c r="A225" s="540" t="str">
        <f t="shared" si="44"/>
        <v>2</v>
      </c>
      <c r="D225" s="520" t="s">
        <v>827</v>
      </c>
      <c r="L225" s="551" t="s">
        <v>828</v>
      </c>
      <c r="M225" s="560" t="s">
        <v>829</v>
      </c>
      <c r="N225" s="553" t="s">
        <v>123</v>
      </c>
      <c r="O225" s="566">
        <v>0</v>
      </c>
      <c r="P225" s="566"/>
      <c r="Q225" s="566"/>
      <c r="R225" s="562">
        <v>0</v>
      </c>
      <c r="S225" s="566"/>
      <c r="T225" s="566"/>
      <c r="U225" s="566"/>
      <c r="V225" s="566"/>
      <c r="W225" s="566"/>
      <c r="X225" s="566"/>
      <c r="Y225" s="566"/>
      <c r="Z225" s="566"/>
      <c r="AA225" s="566"/>
      <c r="AB225" s="566"/>
      <c r="AC225" s="566"/>
      <c r="AD225" s="566"/>
      <c r="AE225" s="566"/>
      <c r="AF225" s="566"/>
      <c r="AG225" s="566"/>
      <c r="AH225" s="566"/>
      <c r="AI225" s="566"/>
      <c r="AJ225" s="566"/>
      <c r="AK225" s="566"/>
      <c r="AL225" s="566"/>
      <c r="AM225" s="566"/>
      <c r="AN225" s="562">
        <f t="shared" si="42"/>
        <v>0</v>
      </c>
      <c r="AO225" s="562">
        <f t="shared" si="45"/>
        <v>0</v>
      </c>
      <c r="AP225" s="562">
        <f t="shared" si="45"/>
        <v>0</v>
      </c>
      <c r="AQ225" s="562">
        <f t="shared" si="45"/>
        <v>0</v>
      </c>
      <c r="AR225" s="562">
        <f t="shared" si="45"/>
        <v>0</v>
      </c>
      <c r="AS225" s="562">
        <f t="shared" si="45"/>
        <v>0</v>
      </c>
      <c r="AT225" s="562">
        <f t="shared" si="45"/>
        <v>0</v>
      </c>
      <c r="AU225" s="562">
        <f t="shared" si="45"/>
        <v>0</v>
      </c>
      <c r="AV225" s="562">
        <f t="shared" si="45"/>
        <v>0</v>
      </c>
      <c r="AW225" s="562">
        <f t="shared" si="45"/>
        <v>0</v>
      </c>
      <c r="AX225" s="548"/>
      <c r="AY225" s="548"/>
      <c r="AZ225" s="548"/>
    </row>
    <row r="226" spans="1:52" ht="22.5" hidden="1" outlineLevel="1" x14ac:dyDescent="0.25">
      <c r="A226" s="540" t="str">
        <f t="shared" si="44"/>
        <v>2</v>
      </c>
      <c r="B226" s="520" t="s">
        <v>830</v>
      </c>
      <c r="D226" s="520" t="s">
        <v>831</v>
      </c>
      <c r="L226" s="551" t="s">
        <v>832</v>
      </c>
      <c r="M226" s="552" t="s">
        <v>833</v>
      </c>
      <c r="N226" s="553" t="s">
        <v>123</v>
      </c>
      <c r="O226" s="566">
        <v>0</v>
      </c>
      <c r="P226" s="566"/>
      <c r="Q226" s="566"/>
      <c r="R226" s="562">
        <v>0</v>
      </c>
      <c r="S226" s="566"/>
      <c r="T226" s="566"/>
      <c r="U226" s="566"/>
      <c r="V226" s="566"/>
      <c r="W226" s="566"/>
      <c r="X226" s="566"/>
      <c r="Y226" s="566"/>
      <c r="Z226" s="566"/>
      <c r="AA226" s="566"/>
      <c r="AB226" s="566"/>
      <c r="AC226" s="566"/>
      <c r="AD226" s="566"/>
      <c r="AE226" s="566"/>
      <c r="AF226" s="566"/>
      <c r="AG226" s="566"/>
      <c r="AH226" s="566"/>
      <c r="AI226" s="566"/>
      <c r="AJ226" s="566"/>
      <c r="AK226" s="566"/>
      <c r="AL226" s="566"/>
      <c r="AM226" s="566"/>
      <c r="AN226" s="562">
        <f t="shared" si="42"/>
        <v>0</v>
      </c>
      <c r="AO226" s="562">
        <f t="shared" si="45"/>
        <v>0</v>
      </c>
      <c r="AP226" s="562">
        <f t="shared" si="45"/>
        <v>0</v>
      </c>
      <c r="AQ226" s="562">
        <f t="shared" si="45"/>
        <v>0</v>
      </c>
      <c r="AR226" s="562">
        <f t="shared" si="45"/>
        <v>0</v>
      </c>
      <c r="AS226" s="562">
        <f t="shared" si="45"/>
        <v>0</v>
      </c>
      <c r="AT226" s="562">
        <f t="shared" si="45"/>
        <v>0</v>
      </c>
      <c r="AU226" s="562">
        <f t="shared" si="45"/>
        <v>0</v>
      </c>
      <c r="AV226" s="562">
        <f t="shared" si="45"/>
        <v>0</v>
      </c>
      <c r="AW226" s="562">
        <f t="shared" si="45"/>
        <v>0</v>
      </c>
      <c r="AX226" s="548"/>
      <c r="AY226" s="548"/>
      <c r="AZ226" s="548"/>
    </row>
    <row r="227" spans="1:52" s="572" customFormat="1" ht="11.25" outlineLevel="1" x14ac:dyDescent="0.25">
      <c r="A227" s="540" t="str">
        <f t="shared" si="44"/>
        <v>2</v>
      </c>
      <c r="B227" s="520" t="s">
        <v>834</v>
      </c>
      <c r="C227" s="520"/>
      <c r="D227" s="520" t="s">
        <v>835</v>
      </c>
      <c r="L227" s="573" t="s">
        <v>137</v>
      </c>
      <c r="M227" s="544" t="s">
        <v>836</v>
      </c>
      <c r="N227" s="575" t="s">
        <v>123</v>
      </c>
      <c r="O227" s="546">
        <v>39.49</v>
      </c>
      <c r="P227" s="546">
        <v>8.31</v>
      </c>
      <c r="Q227" s="546">
        <v>37.86</v>
      </c>
      <c r="R227" s="546">
        <v>29.549999999999997</v>
      </c>
      <c r="S227" s="546">
        <v>24.24</v>
      </c>
      <c r="T227" s="546">
        <v>26.135999999999999</v>
      </c>
      <c r="U227" s="546">
        <v>0</v>
      </c>
      <c r="V227" s="546">
        <v>0</v>
      </c>
      <c r="W227" s="546">
        <v>0</v>
      </c>
      <c r="X227" s="546">
        <v>0</v>
      </c>
      <c r="Y227" s="546">
        <v>0</v>
      </c>
      <c r="Z227" s="546">
        <v>0</v>
      </c>
      <c r="AA227" s="546">
        <v>0</v>
      </c>
      <c r="AB227" s="546">
        <v>0</v>
      </c>
      <c r="AC227" s="546">
        <v>0</v>
      </c>
      <c r="AD227" s="546">
        <v>26.88</v>
      </c>
      <c r="AE227" s="546" t="e">
        <f>SUMIFS([14]ЭЭ!AD$15:AD$42,[14]ЭЭ!$A$15:$A$42,$A227,[14]ЭЭ!$M$15:$M$42,"Всего по тарифу")</f>
        <v>#VALUE!</v>
      </c>
      <c r="AF227" s="546" t="e">
        <f>SUMIFS([14]ЭЭ!AE$15:AE$42,[14]ЭЭ!$A$15:$A$42,$A227,[14]ЭЭ!$M$15:$M$42,"Всего по тарифу")</f>
        <v>#VALUE!</v>
      </c>
      <c r="AG227" s="546" t="e">
        <f>SUMIFS([14]ЭЭ!AF$15:AF$42,[14]ЭЭ!$A$15:$A$42,$A227,[14]ЭЭ!$M$15:$M$42,"Всего по тарифу")</f>
        <v>#VALUE!</v>
      </c>
      <c r="AH227" s="546" t="e">
        <f>SUMIFS([14]ЭЭ!AG$15:AG$42,[14]ЭЭ!$A$15:$A$42,$A227,[14]ЭЭ!$M$15:$M$42,"Всего по тарифу")</f>
        <v>#VALUE!</v>
      </c>
      <c r="AI227" s="546" t="e">
        <f>SUMIFS([14]ЭЭ!AH$15:AH$42,[14]ЭЭ!$A$15:$A$42,$A227,[14]ЭЭ!$M$15:$M$42,"Всего по тарифу")</f>
        <v>#VALUE!</v>
      </c>
      <c r="AJ227" s="546" t="e">
        <f>SUMIFS([14]ЭЭ!AI$15:AI$42,[14]ЭЭ!$A$15:$A$42,$A227,[14]ЭЭ!$M$15:$M$42,"Всего по тарифу")</f>
        <v>#VALUE!</v>
      </c>
      <c r="AK227" s="546" t="e">
        <f>SUMIFS([14]ЭЭ!AJ$15:AJ$42,[14]ЭЭ!$A$15:$A$42,$A227,[14]ЭЭ!$M$15:$M$42,"Всего по тарифу")</f>
        <v>#VALUE!</v>
      </c>
      <c r="AL227" s="546" t="e">
        <f>SUMIFS([14]ЭЭ!AK$15:AK$42,[14]ЭЭ!$A$15:$A$42,$A227,[14]ЭЭ!$M$15:$M$42,"Всего по тарифу")</f>
        <v>#VALUE!</v>
      </c>
      <c r="AM227" s="546" t="e">
        <f>SUMIFS([14]ЭЭ!AL$15:AL$42,[14]ЭЭ!$A$15:$A$42,$A227,[14]ЭЭ!$M$15:$M$42,"Всего по тарифу")</f>
        <v>#VALUE!</v>
      </c>
      <c r="AN227" s="546">
        <f t="shared" si="42"/>
        <v>10.891089108910894</v>
      </c>
      <c r="AO227" s="546" t="e">
        <f t="shared" si="45"/>
        <v>#VALUE!</v>
      </c>
      <c r="AP227" s="546" t="e">
        <f t="shared" si="45"/>
        <v>#VALUE!</v>
      </c>
      <c r="AQ227" s="546" t="e">
        <f t="shared" si="45"/>
        <v>#VALUE!</v>
      </c>
      <c r="AR227" s="546" t="e">
        <f t="shared" si="45"/>
        <v>#VALUE!</v>
      </c>
      <c r="AS227" s="546" t="e">
        <f t="shared" si="45"/>
        <v>#VALUE!</v>
      </c>
      <c r="AT227" s="546" t="e">
        <f t="shared" si="45"/>
        <v>#VALUE!</v>
      </c>
      <c r="AU227" s="546" t="e">
        <f t="shared" si="45"/>
        <v>#VALUE!</v>
      </c>
      <c r="AV227" s="546" t="e">
        <f t="shared" si="45"/>
        <v>#VALUE!</v>
      </c>
      <c r="AW227" s="546" t="e">
        <f t="shared" si="45"/>
        <v>#VALUE!</v>
      </c>
      <c r="AX227" s="548"/>
      <c r="AY227" s="548"/>
      <c r="AZ227" s="548"/>
    </row>
    <row r="228" spans="1:52" s="572" customFormat="1" ht="22.5" outlineLevel="1" x14ac:dyDescent="0.25">
      <c r="A228" s="540" t="str">
        <f t="shared" si="44"/>
        <v>2</v>
      </c>
      <c r="B228" s="520" t="s">
        <v>837</v>
      </c>
      <c r="C228" s="520"/>
      <c r="D228" s="520" t="s">
        <v>838</v>
      </c>
      <c r="L228" s="573" t="s">
        <v>409</v>
      </c>
      <c r="M228" s="544" t="s">
        <v>839</v>
      </c>
      <c r="N228" s="575" t="s">
        <v>123</v>
      </c>
      <c r="O228" s="546">
        <v>27.92</v>
      </c>
      <c r="P228" s="546">
        <v>27.92</v>
      </c>
      <c r="Q228" s="546">
        <v>27.92</v>
      </c>
      <c r="R228" s="546">
        <v>0</v>
      </c>
      <c r="S228" s="546">
        <v>27.92</v>
      </c>
      <c r="T228" s="546">
        <v>27.92</v>
      </c>
      <c r="U228" s="546">
        <v>0</v>
      </c>
      <c r="V228" s="546">
        <v>0</v>
      </c>
      <c r="W228" s="546">
        <v>0</v>
      </c>
      <c r="X228" s="546">
        <v>0</v>
      </c>
      <c r="Y228" s="546">
        <v>0</v>
      </c>
      <c r="Z228" s="546">
        <v>0</v>
      </c>
      <c r="AA228" s="546">
        <v>0</v>
      </c>
      <c r="AB228" s="546">
        <v>0</v>
      </c>
      <c r="AC228" s="546">
        <v>0</v>
      </c>
      <c r="AD228" s="546">
        <v>27.92</v>
      </c>
      <c r="AE228" s="546">
        <f>SUMIFS([14]Амортизация!AD$15:AD$114,[14]Амортизация!$A$15:$A$114,$A228,[14]Амортизация!$M$15:$M$114,"Сумма амортизационных отчислений")</f>
        <v>27.92</v>
      </c>
      <c r="AF228" s="546">
        <f>SUMIFS([14]Амортизация!AE$15:AE$114,[14]Амортизация!$A$15:$A$114,$A228,[14]Амортизация!$M$15:$M$114,"Сумма амортизационных отчислений")</f>
        <v>27.92</v>
      </c>
      <c r="AG228" s="546">
        <f>SUMIFS([14]Амортизация!AF$15:AF$114,[14]Амортизация!$A$15:$A$114,$A228,[14]Амортизация!$M$15:$M$114,"Сумма амортизационных отчислений")</f>
        <v>27.92</v>
      </c>
      <c r="AH228" s="546">
        <f>SUMIFS([14]Амортизация!AG$15:AG$114,[14]Амортизация!$A$15:$A$114,$A228,[14]Амортизация!$M$15:$M$114,"Сумма амортизационных отчислений")</f>
        <v>0</v>
      </c>
      <c r="AI228" s="546">
        <f>SUMIFS([14]Амортизация!AH$15:AH$114,[14]Амортизация!$A$15:$A$114,$A228,[14]Амортизация!$M$15:$M$114,"Сумма амортизационных отчислений")</f>
        <v>0</v>
      </c>
      <c r="AJ228" s="546">
        <f>SUMIFS([14]Амортизация!AI$15:AI$114,[14]Амортизация!$A$15:$A$114,$A228,[14]Амортизация!$M$15:$M$114,"Сумма амортизационных отчислений")</f>
        <v>0</v>
      </c>
      <c r="AK228" s="546">
        <f>SUMIFS([14]Амортизация!AJ$15:AJ$114,[14]Амортизация!$A$15:$A$114,$A228,[14]Амортизация!$M$15:$M$114,"Сумма амортизационных отчислений")</f>
        <v>0</v>
      </c>
      <c r="AL228" s="546">
        <f>SUMIFS([14]Амортизация!AK$15:AK$114,[14]Амортизация!$A$15:$A$114,$A228,[14]Амортизация!$M$15:$M$114,"Сумма амортизационных отчислений")</f>
        <v>0</v>
      </c>
      <c r="AM228" s="546">
        <f>SUMIFS([14]Амортизация!AL$15:AL$114,[14]Амортизация!$A$15:$A$114,$A228,[14]Амортизация!$M$15:$M$114,"Сумма амортизационных отчислений")</f>
        <v>0</v>
      </c>
      <c r="AN228" s="546">
        <f t="shared" si="42"/>
        <v>0</v>
      </c>
      <c r="AO228" s="546">
        <f t="shared" si="45"/>
        <v>0</v>
      </c>
      <c r="AP228" s="546">
        <f t="shared" si="45"/>
        <v>0</v>
      </c>
      <c r="AQ228" s="546">
        <f t="shared" si="45"/>
        <v>0</v>
      </c>
      <c r="AR228" s="546">
        <f t="shared" si="45"/>
        <v>-100</v>
      </c>
      <c r="AS228" s="546">
        <f t="shared" si="45"/>
        <v>0</v>
      </c>
      <c r="AT228" s="546">
        <f t="shared" si="45"/>
        <v>0</v>
      </c>
      <c r="AU228" s="546">
        <f t="shared" si="45"/>
        <v>0</v>
      </c>
      <c r="AV228" s="546">
        <f t="shared" si="45"/>
        <v>0</v>
      </c>
      <c r="AW228" s="546">
        <f t="shared" si="45"/>
        <v>0</v>
      </c>
      <c r="AX228" s="548"/>
      <c r="AY228" s="548"/>
      <c r="AZ228" s="548"/>
    </row>
    <row r="229" spans="1:52" ht="11.25" outlineLevel="1" x14ac:dyDescent="0.25">
      <c r="A229" s="540" t="str">
        <f t="shared" si="44"/>
        <v>2</v>
      </c>
      <c r="D229" s="520" t="s">
        <v>840</v>
      </c>
      <c r="L229" s="551" t="s">
        <v>212</v>
      </c>
      <c r="M229" s="589" t="s">
        <v>841</v>
      </c>
      <c r="N229" s="553" t="s">
        <v>123</v>
      </c>
      <c r="O229" s="566">
        <v>0</v>
      </c>
      <c r="P229" s="566">
        <v>0</v>
      </c>
      <c r="Q229" s="566">
        <v>0</v>
      </c>
      <c r="R229" s="562">
        <v>0</v>
      </c>
      <c r="S229" s="566">
        <v>0</v>
      </c>
      <c r="T229" s="566">
        <v>0</v>
      </c>
      <c r="U229" s="566">
        <v>0</v>
      </c>
      <c r="V229" s="566">
        <v>0</v>
      </c>
      <c r="W229" s="566">
        <v>0</v>
      </c>
      <c r="X229" s="566">
        <v>0</v>
      </c>
      <c r="Y229" s="566">
        <v>0</v>
      </c>
      <c r="Z229" s="566">
        <v>0</v>
      </c>
      <c r="AA229" s="566">
        <v>0</v>
      </c>
      <c r="AB229" s="566">
        <v>0</v>
      </c>
      <c r="AC229" s="566">
        <v>0</v>
      </c>
      <c r="AD229" s="566">
        <v>0</v>
      </c>
      <c r="AE229" s="566">
        <v>0</v>
      </c>
      <c r="AF229" s="566">
        <v>0</v>
      </c>
      <c r="AG229" s="566">
        <v>0</v>
      </c>
      <c r="AH229" s="566">
        <f>SUMIFS('[14]ИП + источники'!AI$17:AI$89,'[14]ИП + источники'!$A$17:$A$89,$A229,'[14]ИП + источники'!$M$17:$M$89,"Амортизационные отчисления")+SUMIFS('[14]ИП + источники'!AI$17:AI$89,'[14]ИП + источники'!$A$17:$A$89,$A229,'[14]ИП + источники'!$M$17:$M$89,"погашение займов и кредитов из амортизации")</f>
        <v>0</v>
      </c>
      <c r="AI229" s="566">
        <f>SUMIFS('[14]ИП + источники'!AJ$17:AJ$89,'[14]ИП + источники'!$A$17:$A$89,$A229,'[14]ИП + источники'!$M$17:$M$89,"Амортизационные отчисления")+SUMIFS('[14]ИП + источники'!AJ$17:AJ$89,'[14]ИП + источники'!$A$17:$A$89,$A229,'[14]ИП + источники'!$M$17:$M$89,"погашение займов и кредитов из амортизации")</f>
        <v>0</v>
      </c>
      <c r="AJ229" s="566">
        <f>SUMIFS('[14]ИП + источники'!AK$17:AK$89,'[14]ИП + источники'!$A$17:$A$89,$A229,'[14]ИП + источники'!$M$17:$M$89,"Амортизационные отчисления")+SUMIFS('[14]ИП + источники'!AK$17:AK$89,'[14]ИП + источники'!$A$17:$A$89,$A229,'[14]ИП + источники'!$M$17:$M$89,"погашение займов и кредитов из амортизации")</f>
        <v>0</v>
      </c>
      <c r="AK229" s="566">
        <f>SUMIFS('[14]ИП + источники'!AL$17:AL$89,'[14]ИП + источники'!$A$17:$A$89,$A229,'[14]ИП + источники'!$M$17:$M$89,"Амортизационные отчисления")+SUMIFS('[14]ИП + источники'!AL$17:AL$89,'[14]ИП + источники'!$A$17:$A$89,$A229,'[14]ИП + источники'!$M$17:$M$89,"погашение займов и кредитов из амортизации")</f>
        <v>0</v>
      </c>
      <c r="AL229" s="566">
        <f>SUMIFS('[14]ИП + источники'!AM$17:AM$89,'[14]ИП + источники'!$A$17:$A$89,$A229,'[14]ИП + источники'!$M$17:$M$89,"Амортизационные отчисления")+SUMIFS('[14]ИП + источники'!AM$17:AM$89,'[14]ИП + источники'!$A$17:$A$89,$A229,'[14]ИП + источники'!$M$17:$M$89,"погашение займов и кредитов из амортизации")</f>
        <v>0</v>
      </c>
      <c r="AM229" s="566">
        <f>SUMIFS('[14]ИП + источники'!AN$17:AN$89,'[14]ИП + источники'!$A$17:$A$89,$A229,'[14]ИП + источники'!$M$17:$M$89,"Амортизационные отчисления")+SUMIFS('[14]ИП + источники'!AN$17:AN$89,'[14]ИП + источники'!$A$17:$A$89,$A229,'[14]ИП + источники'!$M$17:$M$89,"погашение займов и кредитов из амортизации")</f>
        <v>0</v>
      </c>
      <c r="AN229" s="562">
        <f t="shared" si="42"/>
        <v>0</v>
      </c>
      <c r="AO229" s="562">
        <f t="shared" si="45"/>
        <v>0</v>
      </c>
      <c r="AP229" s="562">
        <f t="shared" si="45"/>
        <v>0</v>
      </c>
      <c r="AQ229" s="562">
        <f t="shared" si="45"/>
        <v>0</v>
      </c>
      <c r="AR229" s="562">
        <f t="shared" si="45"/>
        <v>0</v>
      </c>
      <c r="AS229" s="562">
        <f t="shared" si="45"/>
        <v>0</v>
      </c>
      <c r="AT229" s="562">
        <f t="shared" si="45"/>
        <v>0</v>
      </c>
      <c r="AU229" s="562">
        <f t="shared" si="45"/>
        <v>0</v>
      </c>
      <c r="AV229" s="562">
        <f t="shared" si="45"/>
        <v>0</v>
      </c>
      <c r="AW229" s="562">
        <f t="shared" si="45"/>
        <v>0</v>
      </c>
      <c r="AX229" s="548"/>
      <c r="AY229" s="548"/>
      <c r="AZ229" s="548"/>
    </row>
    <row r="230" spans="1:52" s="572" customFormat="1" ht="11.25" outlineLevel="1" x14ac:dyDescent="0.25">
      <c r="A230" s="540" t="str">
        <f t="shared" si="44"/>
        <v>2</v>
      </c>
      <c r="B230" s="520" t="s">
        <v>214</v>
      </c>
      <c r="C230" s="520"/>
      <c r="D230" s="520" t="s">
        <v>842</v>
      </c>
      <c r="L230" s="573" t="s">
        <v>410</v>
      </c>
      <c r="M230" s="590" t="s">
        <v>214</v>
      </c>
      <c r="N230" s="545" t="s">
        <v>123</v>
      </c>
      <c r="O230" s="576">
        <v>0</v>
      </c>
      <c r="P230" s="576">
        <v>0</v>
      </c>
      <c r="Q230" s="576">
        <v>0</v>
      </c>
      <c r="R230" s="576">
        <v>0</v>
      </c>
      <c r="S230" s="576">
        <v>0</v>
      </c>
      <c r="T230" s="576">
        <v>0</v>
      </c>
      <c r="U230" s="576">
        <v>0</v>
      </c>
      <c r="V230" s="576">
        <v>0</v>
      </c>
      <c r="W230" s="576">
        <v>0</v>
      </c>
      <c r="X230" s="576">
        <v>0</v>
      </c>
      <c r="Y230" s="576">
        <v>0</v>
      </c>
      <c r="Z230" s="576">
        <v>0</v>
      </c>
      <c r="AA230" s="576">
        <v>0</v>
      </c>
      <c r="AB230" s="576">
        <v>0</v>
      </c>
      <c r="AC230" s="576">
        <v>0</v>
      </c>
      <c r="AD230" s="576">
        <v>0</v>
      </c>
      <c r="AE230" s="576">
        <f t="shared" ref="AE230:AM230" si="47">AE231+AE232+AE233+AE234</f>
        <v>0</v>
      </c>
      <c r="AF230" s="576">
        <f t="shared" si="47"/>
        <v>0</v>
      </c>
      <c r="AG230" s="576">
        <f t="shared" si="47"/>
        <v>0</v>
      </c>
      <c r="AH230" s="576">
        <f t="shared" si="47"/>
        <v>0</v>
      </c>
      <c r="AI230" s="576">
        <f t="shared" si="47"/>
        <v>0</v>
      </c>
      <c r="AJ230" s="576">
        <f t="shared" si="47"/>
        <v>0</v>
      </c>
      <c r="AK230" s="576">
        <f t="shared" si="47"/>
        <v>0</v>
      </c>
      <c r="AL230" s="576">
        <f t="shared" si="47"/>
        <v>0</v>
      </c>
      <c r="AM230" s="576">
        <f t="shared" si="47"/>
        <v>0</v>
      </c>
      <c r="AN230" s="546">
        <f t="shared" si="42"/>
        <v>0</v>
      </c>
      <c r="AO230" s="546">
        <f t="shared" si="45"/>
        <v>0</v>
      </c>
      <c r="AP230" s="546">
        <f t="shared" si="45"/>
        <v>0</v>
      </c>
      <c r="AQ230" s="546">
        <f t="shared" si="45"/>
        <v>0</v>
      </c>
      <c r="AR230" s="546">
        <f t="shared" si="45"/>
        <v>0</v>
      </c>
      <c r="AS230" s="546">
        <f t="shared" si="45"/>
        <v>0</v>
      </c>
      <c r="AT230" s="546">
        <f t="shared" si="45"/>
        <v>0</v>
      </c>
      <c r="AU230" s="546">
        <f t="shared" si="45"/>
        <v>0</v>
      </c>
      <c r="AV230" s="546">
        <f t="shared" si="45"/>
        <v>0</v>
      </c>
      <c r="AW230" s="546">
        <f t="shared" si="45"/>
        <v>0</v>
      </c>
      <c r="AX230" s="548"/>
      <c r="AY230" s="548"/>
      <c r="AZ230" s="548"/>
    </row>
    <row r="231" spans="1:52" ht="11.25" hidden="1" outlineLevel="1" x14ac:dyDescent="0.25">
      <c r="A231" s="540" t="str">
        <f t="shared" si="44"/>
        <v>2</v>
      </c>
      <c r="D231" s="520" t="s">
        <v>843</v>
      </c>
      <c r="L231" s="551" t="s">
        <v>215</v>
      </c>
      <c r="M231" s="552" t="s">
        <v>844</v>
      </c>
      <c r="N231" s="553" t="s">
        <v>123</v>
      </c>
      <c r="O231" s="566">
        <v>0</v>
      </c>
      <c r="P231" s="566">
        <v>0</v>
      </c>
      <c r="Q231" s="566">
        <v>0</v>
      </c>
      <c r="R231" s="562">
        <v>0</v>
      </c>
      <c r="S231" s="566">
        <v>0</v>
      </c>
      <c r="T231" s="566">
        <v>0</v>
      </c>
      <c r="U231" s="566">
        <v>0</v>
      </c>
      <c r="V231" s="566">
        <v>0</v>
      </c>
      <c r="W231" s="566">
        <v>0</v>
      </c>
      <c r="X231" s="566">
        <v>0</v>
      </c>
      <c r="Y231" s="566">
        <v>0</v>
      </c>
      <c r="Z231" s="566">
        <v>0</v>
      </c>
      <c r="AA231" s="566">
        <v>0</v>
      </c>
      <c r="AB231" s="566">
        <v>0</v>
      </c>
      <c r="AC231" s="566">
        <v>0</v>
      </c>
      <c r="AD231" s="566">
        <v>0</v>
      </c>
      <c r="AE231" s="566">
        <v>0</v>
      </c>
      <c r="AF231" s="566">
        <v>0</v>
      </c>
      <c r="AG231" s="566">
        <v>0</v>
      </c>
      <c r="AH231" s="566">
        <f>SUMIFS('[14]ИП + источники'!AI$17:AI$89,'[14]ИП + источники'!$A$17:$A$89,$A231,'[14]ИП + источники'!$M$17:$M$89,"погашение займов и кредитов из нормативной прибыли")</f>
        <v>0</v>
      </c>
      <c r="AI231" s="566">
        <f>SUMIFS('[14]ИП + источники'!AJ$17:AJ$89,'[14]ИП + источники'!$A$17:$A$89,$A231,'[14]ИП + источники'!$M$17:$M$89,"погашение займов и кредитов из нормативной прибыли")</f>
        <v>0</v>
      </c>
      <c r="AJ231" s="566">
        <f>SUMIFS('[14]ИП + источники'!AK$17:AK$89,'[14]ИП + источники'!$A$17:$A$89,$A231,'[14]ИП + источники'!$M$17:$M$89,"погашение займов и кредитов из нормативной прибыли")</f>
        <v>0</v>
      </c>
      <c r="AK231" s="566">
        <f>SUMIFS('[14]ИП + источники'!AL$17:AL$89,'[14]ИП + источники'!$A$17:$A$89,$A231,'[14]ИП + источники'!$M$17:$M$89,"погашение займов и кредитов из нормативной прибыли")</f>
        <v>0</v>
      </c>
      <c r="AL231" s="566">
        <f>SUMIFS('[14]ИП + источники'!AM$17:AM$89,'[14]ИП + источники'!$A$17:$A$89,$A231,'[14]ИП + источники'!$M$17:$M$89,"погашение займов и кредитов из нормативной прибыли")</f>
        <v>0</v>
      </c>
      <c r="AM231" s="566">
        <f>SUMIFS('[14]ИП + источники'!AN$17:AN$89,'[14]ИП + источники'!$A$17:$A$89,$A231,'[14]ИП + источники'!$M$17:$M$89,"погашение займов и кредитов из нормативной прибыли")</f>
        <v>0</v>
      </c>
      <c r="AN231" s="562">
        <f t="shared" si="42"/>
        <v>0</v>
      </c>
      <c r="AO231" s="562">
        <f t="shared" si="45"/>
        <v>0</v>
      </c>
      <c r="AP231" s="562">
        <f t="shared" si="45"/>
        <v>0</v>
      </c>
      <c r="AQ231" s="562">
        <f t="shared" si="45"/>
        <v>0</v>
      </c>
      <c r="AR231" s="562">
        <f t="shared" si="45"/>
        <v>0</v>
      </c>
      <c r="AS231" s="562">
        <f t="shared" si="45"/>
        <v>0</v>
      </c>
      <c r="AT231" s="562">
        <f t="shared" si="45"/>
        <v>0</v>
      </c>
      <c r="AU231" s="562">
        <f t="shared" si="45"/>
        <v>0</v>
      </c>
      <c r="AV231" s="562">
        <f t="shared" si="45"/>
        <v>0</v>
      </c>
      <c r="AW231" s="562">
        <f t="shared" si="45"/>
        <v>0</v>
      </c>
      <c r="AX231" s="548"/>
      <c r="AY231" s="548"/>
      <c r="AZ231" s="548"/>
    </row>
    <row r="232" spans="1:52" ht="11.25" hidden="1" outlineLevel="1" x14ac:dyDescent="0.25">
      <c r="A232" s="540" t="str">
        <f t="shared" si="44"/>
        <v>2</v>
      </c>
      <c r="D232" s="520" t="s">
        <v>845</v>
      </c>
      <c r="L232" s="551" t="s">
        <v>217</v>
      </c>
      <c r="M232" s="552" t="s">
        <v>846</v>
      </c>
      <c r="N232" s="553" t="s">
        <v>123</v>
      </c>
      <c r="O232" s="566">
        <v>0</v>
      </c>
      <c r="P232" s="566">
        <v>0</v>
      </c>
      <c r="Q232" s="566">
        <v>0</v>
      </c>
      <c r="R232" s="562">
        <v>0</v>
      </c>
      <c r="S232" s="566">
        <v>0</v>
      </c>
      <c r="T232" s="566">
        <v>0</v>
      </c>
      <c r="U232" s="566">
        <v>0</v>
      </c>
      <c r="V232" s="566">
        <v>0</v>
      </c>
      <c r="W232" s="566">
        <v>0</v>
      </c>
      <c r="X232" s="566">
        <v>0</v>
      </c>
      <c r="Y232" s="566">
        <v>0</v>
      </c>
      <c r="Z232" s="566">
        <v>0</v>
      </c>
      <c r="AA232" s="566">
        <v>0</v>
      </c>
      <c r="AB232" s="566">
        <v>0</v>
      </c>
      <c r="AC232" s="566">
        <v>0</v>
      </c>
      <c r="AD232" s="566">
        <v>0</v>
      </c>
      <c r="AE232" s="566">
        <v>0</v>
      </c>
      <c r="AF232" s="566">
        <v>0</v>
      </c>
      <c r="AG232" s="566">
        <v>0</v>
      </c>
      <c r="AH232" s="566">
        <f>SUMIFS('[14]ИП + источники'!AI$17:AI$89,'[14]ИП + источники'!$A$17:$A$89,$A232,'[14]ИП + источники'!$M$17:$M$89,"уплата процентов по кредитам из нормативной прибыли")</f>
        <v>0</v>
      </c>
      <c r="AI232" s="566">
        <f>SUMIFS('[14]ИП + источники'!AJ$17:AJ$89,'[14]ИП + источники'!$A$17:$A$89,$A232,'[14]ИП + источники'!$M$17:$M$89,"уплата процентов по кредитам из нормативной прибыли")</f>
        <v>0</v>
      </c>
      <c r="AJ232" s="566">
        <f>SUMIFS('[14]ИП + источники'!AK$17:AK$89,'[14]ИП + источники'!$A$17:$A$89,$A232,'[14]ИП + источники'!$M$17:$M$89,"уплата процентов по кредитам из нормативной прибыли")</f>
        <v>0</v>
      </c>
      <c r="AK232" s="566">
        <f>SUMIFS('[14]ИП + источники'!AL$17:AL$89,'[14]ИП + источники'!$A$17:$A$89,$A232,'[14]ИП + источники'!$M$17:$M$89,"уплата процентов по кредитам из нормативной прибыли")</f>
        <v>0</v>
      </c>
      <c r="AL232" s="566">
        <f>SUMIFS('[14]ИП + источники'!AM$17:AM$89,'[14]ИП + источники'!$A$17:$A$89,$A232,'[14]ИП + источники'!$M$17:$M$89,"уплата процентов по кредитам из нормативной прибыли")</f>
        <v>0</v>
      </c>
      <c r="AM232" s="566">
        <f>SUMIFS('[14]ИП + источники'!AN$17:AN$89,'[14]ИП + источники'!$A$17:$A$89,$A232,'[14]ИП + источники'!$M$17:$M$89,"уплата процентов по кредитам из нормативной прибыли")</f>
        <v>0</v>
      </c>
      <c r="AN232" s="562">
        <f t="shared" si="42"/>
        <v>0</v>
      </c>
      <c r="AO232" s="562">
        <f t="shared" si="45"/>
        <v>0</v>
      </c>
      <c r="AP232" s="562">
        <f t="shared" si="45"/>
        <v>0</v>
      </c>
      <c r="AQ232" s="562">
        <f t="shared" si="45"/>
        <v>0</v>
      </c>
      <c r="AR232" s="562">
        <f t="shared" si="45"/>
        <v>0</v>
      </c>
      <c r="AS232" s="562">
        <f t="shared" si="45"/>
        <v>0</v>
      </c>
      <c r="AT232" s="562">
        <f t="shared" si="45"/>
        <v>0</v>
      </c>
      <c r="AU232" s="562">
        <f t="shared" si="45"/>
        <v>0</v>
      </c>
      <c r="AV232" s="562">
        <f t="shared" si="45"/>
        <v>0</v>
      </c>
      <c r="AW232" s="562">
        <f t="shared" si="45"/>
        <v>0</v>
      </c>
      <c r="AX232" s="548"/>
      <c r="AY232" s="548"/>
      <c r="AZ232" s="548"/>
    </row>
    <row r="233" spans="1:52" ht="11.25" hidden="1" outlineLevel="1" x14ac:dyDescent="0.25">
      <c r="A233" s="540" t="str">
        <f t="shared" si="44"/>
        <v>2</v>
      </c>
      <c r="D233" s="520" t="s">
        <v>847</v>
      </c>
      <c r="L233" s="551" t="s">
        <v>848</v>
      </c>
      <c r="M233" s="552" t="s">
        <v>849</v>
      </c>
      <c r="N233" s="553" t="s">
        <v>123</v>
      </c>
      <c r="O233" s="566">
        <v>0</v>
      </c>
      <c r="P233" s="566">
        <v>0</v>
      </c>
      <c r="Q233" s="566">
        <v>0</v>
      </c>
      <c r="R233" s="562">
        <v>0</v>
      </c>
      <c r="S233" s="566">
        <v>0</v>
      </c>
      <c r="T233" s="566">
        <v>0</v>
      </c>
      <c r="U233" s="566">
        <v>0</v>
      </c>
      <c r="V233" s="566">
        <v>0</v>
      </c>
      <c r="W233" s="566">
        <v>0</v>
      </c>
      <c r="X233" s="566">
        <v>0</v>
      </c>
      <c r="Y233" s="566">
        <v>0</v>
      </c>
      <c r="Z233" s="566">
        <v>0</v>
      </c>
      <c r="AA233" s="566">
        <v>0</v>
      </c>
      <c r="AB233" s="566">
        <v>0</v>
      </c>
      <c r="AC233" s="566">
        <v>0</v>
      </c>
      <c r="AD233" s="566">
        <v>0</v>
      </c>
      <c r="AE233" s="566">
        <v>0</v>
      </c>
      <c r="AF233" s="566">
        <v>0</v>
      </c>
      <c r="AG233" s="566">
        <v>0</v>
      </c>
      <c r="AH233" s="566">
        <f>SUMIFS('[14]ИП + источники'!AI$17:AI$89,'[14]ИП + источники'!$A$17:$A$89,$A233,'[14]ИП + источники'!$M$17:$M$89,"Прибыль на капвложения")</f>
        <v>0</v>
      </c>
      <c r="AI233" s="566">
        <f>SUMIFS('[14]ИП + источники'!AJ$17:AJ$89,'[14]ИП + источники'!$A$17:$A$89,$A233,'[14]ИП + источники'!$M$17:$M$89,"Прибыль на капвложения")</f>
        <v>0</v>
      </c>
      <c r="AJ233" s="566">
        <f>SUMIFS('[14]ИП + источники'!AK$17:AK$89,'[14]ИП + источники'!$A$17:$A$89,$A233,'[14]ИП + источники'!$M$17:$M$89,"Прибыль на капвложения")</f>
        <v>0</v>
      </c>
      <c r="AK233" s="566">
        <f>SUMIFS('[14]ИП + источники'!AL$17:AL$89,'[14]ИП + источники'!$A$17:$A$89,$A233,'[14]ИП + источники'!$M$17:$M$89,"Прибыль на капвложения")</f>
        <v>0</v>
      </c>
      <c r="AL233" s="566">
        <f>SUMIFS('[14]ИП + источники'!AM$17:AM$89,'[14]ИП + источники'!$A$17:$A$89,$A233,'[14]ИП + источники'!$M$17:$M$89,"Прибыль на капвложения")</f>
        <v>0</v>
      </c>
      <c r="AM233" s="566">
        <f>SUMIFS('[14]ИП + источники'!AN$17:AN$89,'[14]ИП + источники'!$A$17:$A$89,$A233,'[14]ИП + источники'!$M$17:$M$89,"Прибыль на капвложения")</f>
        <v>0</v>
      </c>
      <c r="AN233" s="562">
        <f t="shared" si="42"/>
        <v>0</v>
      </c>
      <c r="AO233" s="562">
        <f t="shared" si="45"/>
        <v>0</v>
      </c>
      <c r="AP233" s="562">
        <f t="shared" si="45"/>
        <v>0</v>
      </c>
      <c r="AQ233" s="562">
        <f t="shared" si="45"/>
        <v>0</v>
      </c>
      <c r="AR233" s="562">
        <f t="shared" si="45"/>
        <v>0</v>
      </c>
      <c r="AS233" s="562">
        <f t="shared" si="45"/>
        <v>0</v>
      </c>
      <c r="AT233" s="562">
        <f t="shared" si="45"/>
        <v>0</v>
      </c>
      <c r="AU233" s="562">
        <f t="shared" si="45"/>
        <v>0</v>
      </c>
      <c r="AV233" s="562">
        <f t="shared" si="45"/>
        <v>0</v>
      </c>
      <c r="AW233" s="562">
        <f t="shared" si="45"/>
        <v>0</v>
      </c>
      <c r="AX233" s="548"/>
      <c r="AY233" s="548"/>
      <c r="AZ233" s="548"/>
    </row>
    <row r="234" spans="1:52" ht="22.5" hidden="1" outlineLevel="1" x14ac:dyDescent="0.25">
      <c r="A234" s="540" t="str">
        <f t="shared" si="44"/>
        <v>2</v>
      </c>
      <c r="B234" s="520" t="s">
        <v>850</v>
      </c>
      <c r="D234" s="520" t="s">
        <v>851</v>
      </c>
      <c r="L234" s="551" t="s">
        <v>852</v>
      </c>
      <c r="M234" s="552" t="s">
        <v>853</v>
      </c>
      <c r="N234" s="553" t="s">
        <v>123</v>
      </c>
      <c r="O234" s="566">
        <v>0</v>
      </c>
      <c r="P234" s="566"/>
      <c r="Q234" s="566"/>
      <c r="R234" s="562">
        <v>0</v>
      </c>
      <c r="S234" s="566"/>
      <c r="T234" s="566"/>
      <c r="U234" s="566"/>
      <c r="V234" s="566"/>
      <c r="W234" s="566"/>
      <c r="X234" s="566"/>
      <c r="Y234" s="566"/>
      <c r="Z234" s="566"/>
      <c r="AA234" s="566"/>
      <c r="AB234" s="566"/>
      <c r="AC234" s="566"/>
      <c r="AD234" s="566"/>
      <c r="AE234" s="566"/>
      <c r="AF234" s="566"/>
      <c r="AG234" s="566"/>
      <c r="AH234" s="566"/>
      <c r="AI234" s="566"/>
      <c r="AJ234" s="566"/>
      <c r="AK234" s="566"/>
      <c r="AL234" s="566"/>
      <c r="AM234" s="566"/>
      <c r="AN234" s="562">
        <f t="shared" si="42"/>
        <v>0</v>
      </c>
      <c r="AO234" s="562">
        <f t="shared" si="45"/>
        <v>0</v>
      </c>
      <c r="AP234" s="562">
        <f t="shared" si="45"/>
        <v>0</v>
      </c>
      <c r="AQ234" s="562">
        <f t="shared" si="45"/>
        <v>0</v>
      </c>
      <c r="AR234" s="562">
        <f t="shared" si="45"/>
        <v>0</v>
      </c>
      <c r="AS234" s="562">
        <f t="shared" si="45"/>
        <v>0</v>
      </c>
      <c r="AT234" s="562">
        <f t="shared" si="45"/>
        <v>0</v>
      </c>
      <c r="AU234" s="562">
        <f t="shared" si="45"/>
        <v>0</v>
      </c>
      <c r="AV234" s="562">
        <f t="shared" si="45"/>
        <v>0</v>
      </c>
      <c r="AW234" s="562">
        <f t="shared" si="45"/>
        <v>0</v>
      </c>
      <c r="AX234" s="548"/>
      <c r="AY234" s="548"/>
      <c r="AZ234" s="548"/>
    </row>
    <row r="235" spans="1:52" ht="11.25" hidden="1" outlineLevel="1" x14ac:dyDescent="0.25">
      <c r="A235" s="540" t="str">
        <f t="shared" si="44"/>
        <v>2</v>
      </c>
      <c r="B235" s="520" t="s">
        <v>220</v>
      </c>
      <c r="D235" s="520" t="s">
        <v>854</v>
      </c>
      <c r="L235" s="551" t="s">
        <v>219</v>
      </c>
      <c r="M235" s="591" t="s">
        <v>220</v>
      </c>
      <c r="N235" s="553" t="s">
        <v>123</v>
      </c>
      <c r="O235" s="566">
        <v>0</v>
      </c>
      <c r="P235" s="566"/>
      <c r="Q235" s="566"/>
      <c r="R235" s="562">
        <v>0</v>
      </c>
      <c r="S235" s="566">
        <v>0</v>
      </c>
      <c r="T235" s="566"/>
      <c r="U235" s="566"/>
      <c r="V235" s="566"/>
      <c r="W235" s="566"/>
      <c r="X235" s="566"/>
      <c r="Y235" s="566"/>
      <c r="Z235" s="566"/>
      <c r="AA235" s="566"/>
      <c r="AB235" s="566"/>
      <c r="AC235" s="566"/>
      <c r="AD235" s="566">
        <v>0</v>
      </c>
      <c r="AE235" s="566">
        <v>0</v>
      </c>
      <c r="AF235" s="566">
        <v>0</v>
      </c>
      <c r="AG235" s="566">
        <v>0</v>
      </c>
      <c r="AH235" s="566"/>
      <c r="AI235" s="566"/>
      <c r="AJ235" s="566"/>
      <c r="AK235" s="566"/>
      <c r="AL235" s="566"/>
      <c r="AM235" s="566"/>
      <c r="AN235" s="562">
        <f t="shared" si="42"/>
        <v>0</v>
      </c>
      <c r="AO235" s="562">
        <f t="shared" si="45"/>
        <v>0</v>
      </c>
      <c r="AP235" s="562">
        <f t="shared" si="45"/>
        <v>0</v>
      </c>
      <c r="AQ235" s="562">
        <f t="shared" si="45"/>
        <v>0</v>
      </c>
      <c r="AR235" s="562">
        <f t="shared" si="45"/>
        <v>0</v>
      </c>
      <c r="AS235" s="562">
        <f t="shared" si="45"/>
        <v>0</v>
      </c>
      <c r="AT235" s="562">
        <f t="shared" si="45"/>
        <v>0</v>
      </c>
      <c r="AU235" s="562">
        <f t="shared" si="45"/>
        <v>0</v>
      </c>
      <c r="AV235" s="562">
        <f t="shared" si="45"/>
        <v>0</v>
      </c>
      <c r="AW235" s="562">
        <f t="shared" si="45"/>
        <v>0</v>
      </c>
      <c r="AX235" s="548"/>
      <c r="AY235" s="548"/>
      <c r="AZ235" s="548"/>
    </row>
    <row r="236" spans="1:52" s="572" customFormat="1" ht="11.25" outlineLevel="1" x14ac:dyDescent="0.25">
      <c r="A236" s="540" t="str">
        <f t="shared" si="44"/>
        <v>2</v>
      </c>
      <c r="B236" s="520" t="s">
        <v>855</v>
      </c>
      <c r="C236" s="520"/>
      <c r="D236" s="592" t="s">
        <v>856</v>
      </c>
      <c r="L236" s="573" t="s">
        <v>221</v>
      </c>
      <c r="M236" s="593" t="s">
        <v>857</v>
      </c>
      <c r="N236" s="575" t="s">
        <v>123</v>
      </c>
      <c r="O236" s="547">
        <v>-43.81</v>
      </c>
      <c r="P236" s="547"/>
      <c r="Q236" s="547">
        <v>-43.81</v>
      </c>
      <c r="R236" s="546">
        <v>-43.81</v>
      </c>
      <c r="S236" s="547">
        <v>-71.099999999999994</v>
      </c>
      <c r="T236" s="566">
        <v>0</v>
      </c>
      <c r="U236" s="547"/>
      <c r="V236" s="547"/>
      <c r="W236" s="547"/>
      <c r="X236" s="547"/>
      <c r="Y236" s="547"/>
      <c r="Z236" s="547"/>
      <c r="AA236" s="547"/>
      <c r="AB236" s="547"/>
      <c r="AC236" s="547"/>
      <c r="AD236" s="566">
        <v>-36.56</v>
      </c>
      <c r="AE236" s="547">
        <v>70.98</v>
      </c>
      <c r="AF236" s="547">
        <v>71.25</v>
      </c>
      <c r="AG236" s="547">
        <v>12.27</v>
      </c>
      <c r="AH236" s="547"/>
      <c r="AI236" s="547"/>
      <c r="AJ236" s="547"/>
      <c r="AK236" s="547"/>
      <c r="AL236" s="547"/>
      <c r="AM236" s="547"/>
      <c r="AN236" s="546">
        <f t="shared" si="42"/>
        <v>-48.579465541490855</v>
      </c>
      <c r="AO236" s="546">
        <f t="shared" si="45"/>
        <v>-294.14660831509843</v>
      </c>
      <c r="AP236" s="546">
        <f t="shared" si="45"/>
        <v>0.38038884192729783</v>
      </c>
      <c r="AQ236" s="546">
        <f t="shared" si="45"/>
        <v>-82.778947368421058</v>
      </c>
      <c r="AR236" s="546">
        <f t="shared" si="45"/>
        <v>-100</v>
      </c>
      <c r="AS236" s="546">
        <f t="shared" si="45"/>
        <v>0</v>
      </c>
      <c r="AT236" s="546">
        <f t="shared" si="45"/>
        <v>0</v>
      </c>
      <c r="AU236" s="546">
        <f t="shared" si="45"/>
        <v>0</v>
      </c>
      <c r="AV236" s="546">
        <f t="shared" si="45"/>
        <v>0</v>
      </c>
      <c r="AW236" s="546">
        <f t="shared" si="45"/>
        <v>0</v>
      </c>
      <c r="AX236" s="559"/>
      <c r="AY236" s="559"/>
      <c r="AZ236" s="559"/>
    </row>
    <row r="237" spans="1:52" ht="11.25" outlineLevel="1" x14ac:dyDescent="0.25">
      <c r="A237" s="540" t="str">
        <f t="shared" si="44"/>
        <v>2</v>
      </c>
      <c r="L237" s="551"/>
      <c r="M237" s="591" t="s">
        <v>858</v>
      </c>
      <c r="N237" s="553"/>
      <c r="O237" s="556"/>
      <c r="P237" s="556"/>
      <c r="Q237" s="556"/>
      <c r="R237" s="556"/>
      <c r="S237" s="556"/>
      <c r="T237" s="556"/>
      <c r="U237" s="556"/>
      <c r="V237" s="556"/>
      <c r="W237" s="556"/>
      <c r="X237" s="556"/>
      <c r="Y237" s="556"/>
      <c r="Z237" s="556"/>
      <c r="AA237" s="556"/>
      <c r="AB237" s="556"/>
      <c r="AC237" s="556"/>
      <c r="AD237" s="556"/>
      <c r="AE237" s="556"/>
      <c r="AF237" s="556"/>
      <c r="AG237" s="556"/>
      <c r="AH237" s="556"/>
      <c r="AI237" s="556"/>
      <c r="AJ237" s="556"/>
      <c r="AK237" s="556"/>
      <c r="AL237" s="556"/>
      <c r="AM237" s="556"/>
      <c r="AN237" s="556"/>
      <c r="AO237" s="556"/>
      <c r="AP237" s="556"/>
      <c r="AQ237" s="556"/>
      <c r="AR237" s="556"/>
      <c r="AS237" s="556"/>
      <c r="AT237" s="556"/>
      <c r="AU237" s="556"/>
      <c r="AV237" s="556"/>
      <c r="AW237" s="556"/>
      <c r="AX237" s="579"/>
      <c r="AY237" s="579"/>
      <c r="AZ237" s="579"/>
    </row>
    <row r="238" spans="1:52" ht="22.5" hidden="1" outlineLevel="1" x14ac:dyDescent="0.25">
      <c r="A238" s="540" t="str">
        <f t="shared" si="44"/>
        <v>2</v>
      </c>
      <c r="B238" s="520" t="s">
        <v>835</v>
      </c>
      <c r="D238" s="520" t="s">
        <v>859</v>
      </c>
      <c r="L238" s="551" t="s">
        <v>223</v>
      </c>
      <c r="M238" s="552" t="s">
        <v>860</v>
      </c>
      <c r="N238" s="553" t="s">
        <v>123</v>
      </c>
      <c r="O238" s="566">
        <v>0</v>
      </c>
      <c r="P238" s="566"/>
      <c r="Q238" s="566"/>
      <c r="R238" s="562">
        <v>0</v>
      </c>
      <c r="S238" s="566">
        <v>0</v>
      </c>
      <c r="T238" s="566">
        <v>0</v>
      </c>
      <c r="U238" s="566"/>
      <c r="V238" s="566"/>
      <c r="W238" s="566"/>
      <c r="X238" s="566"/>
      <c r="Y238" s="566"/>
      <c r="Z238" s="566"/>
      <c r="AA238" s="566"/>
      <c r="AB238" s="566"/>
      <c r="AC238" s="566"/>
      <c r="AD238" s="566">
        <v>0</v>
      </c>
      <c r="AE238" s="566"/>
      <c r="AF238" s="566"/>
      <c r="AG238" s="566"/>
      <c r="AH238" s="566"/>
      <c r="AI238" s="566"/>
      <c r="AJ238" s="566"/>
      <c r="AK238" s="566"/>
      <c r="AL238" s="566"/>
      <c r="AM238" s="566"/>
      <c r="AN238" s="556"/>
      <c r="AO238" s="556"/>
      <c r="AP238" s="556"/>
      <c r="AQ238" s="556"/>
      <c r="AR238" s="556"/>
      <c r="AS238" s="556"/>
      <c r="AT238" s="556"/>
      <c r="AU238" s="556"/>
      <c r="AV238" s="556"/>
      <c r="AW238" s="556"/>
      <c r="AX238" s="548"/>
      <c r="AY238" s="548"/>
      <c r="AZ238" s="548"/>
    </row>
    <row r="239" spans="1:52" ht="101.25" outlineLevel="1" x14ac:dyDescent="0.25">
      <c r="A239" s="540" t="str">
        <f t="shared" si="44"/>
        <v>2</v>
      </c>
      <c r="B239" s="520" t="s">
        <v>838</v>
      </c>
      <c r="D239" s="520" t="s">
        <v>861</v>
      </c>
      <c r="L239" s="551" t="s">
        <v>225</v>
      </c>
      <c r="M239" s="552" t="s">
        <v>862</v>
      </c>
      <c r="N239" s="553" t="s">
        <v>123</v>
      </c>
      <c r="O239" s="566">
        <v>0</v>
      </c>
      <c r="P239" s="566"/>
      <c r="Q239" s="566"/>
      <c r="R239" s="562">
        <v>0</v>
      </c>
      <c r="S239" s="566">
        <v>0</v>
      </c>
      <c r="T239" s="566">
        <v>0</v>
      </c>
      <c r="U239" s="566"/>
      <c r="V239" s="566"/>
      <c r="W239" s="566"/>
      <c r="X239" s="566"/>
      <c r="Y239" s="566"/>
      <c r="Z239" s="566"/>
      <c r="AA239" s="566"/>
      <c r="AB239" s="566"/>
      <c r="AC239" s="566"/>
      <c r="AD239" s="566">
        <v>-36.56</v>
      </c>
      <c r="AE239" s="566"/>
      <c r="AF239" s="566"/>
      <c r="AG239" s="566"/>
      <c r="AH239" s="566"/>
      <c r="AI239" s="566"/>
      <c r="AJ239" s="566"/>
      <c r="AK239" s="566"/>
      <c r="AL239" s="566"/>
      <c r="AM239" s="566"/>
      <c r="AN239" s="556"/>
      <c r="AO239" s="556"/>
      <c r="AP239" s="556"/>
      <c r="AQ239" s="556"/>
      <c r="AR239" s="556"/>
      <c r="AS239" s="556"/>
      <c r="AT239" s="556"/>
      <c r="AU239" s="556"/>
      <c r="AV239" s="556"/>
      <c r="AW239" s="556"/>
      <c r="AX239" s="548"/>
      <c r="AY239" s="548"/>
      <c r="AZ239" s="548"/>
    </row>
    <row r="240" spans="1:52" ht="45" hidden="1" outlineLevel="1" x14ac:dyDescent="0.25">
      <c r="A240" s="540" t="str">
        <f t="shared" si="44"/>
        <v>2</v>
      </c>
      <c r="D240" s="520" t="s">
        <v>863</v>
      </c>
      <c r="L240" s="551" t="s">
        <v>227</v>
      </c>
      <c r="M240" s="552" t="s">
        <v>864</v>
      </c>
      <c r="N240" s="553" t="s">
        <v>123</v>
      </c>
      <c r="O240" s="566">
        <v>0</v>
      </c>
      <c r="P240" s="566"/>
      <c r="Q240" s="566"/>
      <c r="R240" s="562">
        <v>0</v>
      </c>
      <c r="S240" s="566">
        <v>0</v>
      </c>
      <c r="T240" s="566">
        <v>0</v>
      </c>
      <c r="U240" s="566"/>
      <c r="V240" s="566"/>
      <c r="W240" s="566"/>
      <c r="X240" s="566"/>
      <c r="Y240" s="566"/>
      <c r="Z240" s="566"/>
      <c r="AA240" s="566"/>
      <c r="AB240" s="566"/>
      <c r="AC240" s="566"/>
      <c r="AD240" s="566">
        <v>0</v>
      </c>
      <c r="AE240" s="566">
        <v>0</v>
      </c>
      <c r="AF240" s="566">
        <v>0</v>
      </c>
      <c r="AG240" s="566">
        <v>0</v>
      </c>
      <c r="AH240" s="566"/>
      <c r="AI240" s="566"/>
      <c r="AJ240" s="566"/>
      <c r="AK240" s="566"/>
      <c r="AL240" s="566"/>
      <c r="AM240" s="566"/>
      <c r="AN240" s="556"/>
      <c r="AO240" s="556"/>
      <c r="AP240" s="556"/>
      <c r="AQ240" s="556"/>
      <c r="AR240" s="556"/>
      <c r="AS240" s="556"/>
      <c r="AT240" s="556"/>
      <c r="AU240" s="556"/>
      <c r="AV240" s="556"/>
      <c r="AW240" s="556"/>
      <c r="AX240" s="548"/>
      <c r="AY240" s="548"/>
      <c r="AZ240" s="548"/>
    </row>
    <row r="241" spans="1:52" ht="120" hidden="1" outlineLevel="1" x14ac:dyDescent="0.25">
      <c r="A241" s="540" t="str">
        <f t="shared" si="44"/>
        <v>2</v>
      </c>
      <c r="B241" s="520" t="s">
        <v>842</v>
      </c>
      <c r="C241" s="577" t="b">
        <f>D142="Водоотведение"</f>
        <v>1</v>
      </c>
      <c r="D241" s="520" t="s">
        <v>865</v>
      </c>
      <c r="L241" s="551" t="s">
        <v>229</v>
      </c>
      <c r="M241" s="594" t="s">
        <v>866</v>
      </c>
      <c r="N241" s="565" t="s">
        <v>123</v>
      </c>
      <c r="O241" s="566"/>
      <c r="P241" s="566"/>
      <c r="Q241" s="566"/>
      <c r="R241" s="562">
        <v>0</v>
      </c>
      <c r="S241" s="566">
        <v>0</v>
      </c>
      <c r="T241" s="566">
        <v>0</v>
      </c>
      <c r="U241" s="566"/>
      <c r="V241" s="566"/>
      <c r="W241" s="566"/>
      <c r="X241" s="566"/>
      <c r="Y241" s="566"/>
      <c r="Z241" s="566"/>
      <c r="AA241" s="566"/>
      <c r="AB241" s="566"/>
      <c r="AC241" s="566"/>
      <c r="AD241" s="566">
        <v>0</v>
      </c>
      <c r="AE241" s="566"/>
      <c r="AF241" s="566"/>
      <c r="AG241" s="566"/>
      <c r="AH241" s="566"/>
      <c r="AI241" s="566"/>
      <c r="AJ241" s="566"/>
      <c r="AK241" s="566"/>
      <c r="AL241" s="566"/>
      <c r="AM241" s="566"/>
      <c r="AN241" s="556"/>
      <c r="AO241" s="556"/>
      <c r="AP241" s="556"/>
      <c r="AQ241" s="556"/>
      <c r="AR241" s="556"/>
      <c r="AS241" s="556"/>
      <c r="AT241" s="556"/>
      <c r="AU241" s="556"/>
      <c r="AV241" s="556"/>
      <c r="AW241" s="556"/>
      <c r="AX241" s="548"/>
      <c r="AY241" s="548"/>
      <c r="AZ241" s="548"/>
    </row>
    <row r="242" spans="1:52" ht="56.25" hidden="1" outlineLevel="1" x14ac:dyDescent="0.25">
      <c r="A242" s="540" t="str">
        <f t="shared" si="44"/>
        <v>2</v>
      </c>
      <c r="B242" s="520" t="s">
        <v>854</v>
      </c>
      <c r="C242" s="577" t="b">
        <f>D142="Водоотведение"</f>
        <v>1</v>
      </c>
      <c r="D242" s="520" t="s">
        <v>867</v>
      </c>
      <c r="L242" s="551" t="s">
        <v>231</v>
      </c>
      <c r="M242" s="552" t="s">
        <v>868</v>
      </c>
      <c r="N242" s="565" t="s">
        <v>123</v>
      </c>
      <c r="O242" s="566"/>
      <c r="P242" s="566"/>
      <c r="Q242" s="566"/>
      <c r="R242" s="562">
        <v>0</v>
      </c>
      <c r="S242" s="566">
        <v>0</v>
      </c>
      <c r="T242" s="566">
        <v>0</v>
      </c>
      <c r="U242" s="566"/>
      <c r="V242" s="566"/>
      <c r="W242" s="566"/>
      <c r="X242" s="566"/>
      <c r="Y242" s="566"/>
      <c r="Z242" s="566"/>
      <c r="AA242" s="566"/>
      <c r="AB242" s="566"/>
      <c r="AC242" s="566"/>
      <c r="AD242" s="566">
        <v>0</v>
      </c>
      <c r="AE242" s="566"/>
      <c r="AF242" s="566"/>
      <c r="AG242" s="566"/>
      <c r="AH242" s="566"/>
      <c r="AI242" s="566"/>
      <c r="AJ242" s="566"/>
      <c r="AK242" s="566"/>
      <c r="AL242" s="566"/>
      <c r="AM242" s="566"/>
      <c r="AN242" s="556"/>
      <c r="AO242" s="556"/>
      <c r="AP242" s="556"/>
      <c r="AQ242" s="556"/>
      <c r="AR242" s="556"/>
      <c r="AS242" s="556"/>
      <c r="AT242" s="556"/>
      <c r="AU242" s="556"/>
      <c r="AV242" s="556"/>
      <c r="AW242" s="556"/>
      <c r="AX242" s="548"/>
      <c r="AY242" s="548"/>
      <c r="AZ242" s="548"/>
    </row>
    <row r="243" spans="1:52" ht="11.25" hidden="1" outlineLevel="1" x14ac:dyDescent="0.25">
      <c r="A243" s="540" t="str">
        <f t="shared" si="44"/>
        <v>2</v>
      </c>
      <c r="B243" s="520" t="s">
        <v>859</v>
      </c>
      <c r="D243" s="520" t="s">
        <v>869</v>
      </c>
      <c r="L243" s="551" t="s">
        <v>233</v>
      </c>
      <c r="M243" s="552" t="s">
        <v>870</v>
      </c>
      <c r="N243" s="553" t="s">
        <v>123</v>
      </c>
      <c r="O243" s="566"/>
      <c r="P243" s="566"/>
      <c r="Q243" s="566"/>
      <c r="R243" s="562">
        <v>0</v>
      </c>
      <c r="S243" s="566">
        <v>0</v>
      </c>
      <c r="T243" s="566">
        <v>0</v>
      </c>
      <c r="U243" s="566"/>
      <c r="V243" s="566"/>
      <c r="W243" s="566"/>
      <c r="X243" s="566"/>
      <c r="Y243" s="566"/>
      <c r="Z243" s="566"/>
      <c r="AA243" s="566"/>
      <c r="AB243" s="566"/>
      <c r="AC243" s="566"/>
      <c r="AD243" s="566">
        <v>0</v>
      </c>
      <c r="AE243" s="566"/>
      <c r="AF243" s="566"/>
      <c r="AG243" s="566"/>
      <c r="AH243" s="566"/>
      <c r="AI243" s="566"/>
      <c r="AJ243" s="566"/>
      <c r="AK243" s="566"/>
      <c r="AL243" s="566"/>
      <c r="AM243" s="566"/>
      <c r="AN243" s="556"/>
      <c r="AO243" s="556"/>
      <c r="AP243" s="556"/>
      <c r="AQ243" s="556"/>
      <c r="AR243" s="556"/>
      <c r="AS243" s="556"/>
      <c r="AT243" s="556"/>
      <c r="AU243" s="556"/>
      <c r="AV243" s="556"/>
      <c r="AW243" s="556"/>
      <c r="AX243" s="548"/>
      <c r="AY243" s="548"/>
      <c r="AZ243" s="548"/>
    </row>
    <row r="244" spans="1:52" ht="11.25" hidden="1" outlineLevel="1" x14ac:dyDescent="0.25">
      <c r="A244" s="540" t="str">
        <f t="shared" si="44"/>
        <v>2</v>
      </c>
      <c r="B244" s="520" t="s">
        <v>861</v>
      </c>
      <c r="D244" s="520" t="s">
        <v>871</v>
      </c>
      <c r="L244" s="551" t="s">
        <v>235</v>
      </c>
      <c r="M244" s="552" t="s">
        <v>872</v>
      </c>
      <c r="N244" s="553" t="s">
        <v>123</v>
      </c>
      <c r="O244" s="566">
        <v>0</v>
      </c>
      <c r="P244" s="566">
        <v>0</v>
      </c>
      <c r="Q244" s="566">
        <v>0</v>
      </c>
      <c r="R244" s="562">
        <v>0</v>
      </c>
      <c r="S244" s="566">
        <v>0</v>
      </c>
      <c r="T244" s="566">
        <v>0</v>
      </c>
      <c r="U244" s="566">
        <v>0</v>
      </c>
      <c r="V244" s="566">
        <v>0</v>
      </c>
      <c r="W244" s="566">
        <v>0</v>
      </c>
      <c r="X244" s="566">
        <v>0</v>
      </c>
      <c r="Y244" s="566">
        <v>0</v>
      </c>
      <c r="Z244" s="566">
        <v>0</v>
      </c>
      <c r="AA244" s="566">
        <v>0</v>
      </c>
      <c r="AB244" s="566">
        <v>0</v>
      </c>
      <c r="AC244" s="566">
        <v>0</v>
      </c>
      <c r="AD244" s="566">
        <v>0</v>
      </c>
      <c r="AE244" s="566">
        <v>0</v>
      </c>
      <c r="AF244" s="566">
        <v>0</v>
      </c>
      <c r="AG244" s="566">
        <v>0</v>
      </c>
      <c r="AH244" s="566">
        <f t="shared" ref="AH244:AM244" si="48">AH245+AH246</f>
        <v>0</v>
      </c>
      <c r="AI244" s="566">
        <f t="shared" si="48"/>
        <v>0</v>
      </c>
      <c r="AJ244" s="566">
        <f t="shared" si="48"/>
        <v>0</v>
      </c>
      <c r="AK244" s="566">
        <f t="shared" si="48"/>
        <v>0</v>
      </c>
      <c r="AL244" s="566">
        <f t="shared" si="48"/>
        <v>0</v>
      </c>
      <c r="AM244" s="566">
        <f t="shared" si="48"/>
        <v>0</v>
      </c>
      <c r="AN244" s="562">
        <f>IF(S244=0,0,(AD244-S244)/S244*100)</f>
        <v>0</v>
      </c>
      <c r="AO244" s="562">
        <f t="shared" ref="AO244:AW244" si="49">IF(AD244=0,0,(AE244-AD244)/AD244*100)</f>
        <v>0</v>
      </c>
      <c r="AP244" s="562">
        <f t="shared" si="49"/>
        <v>0</v>
      </c>
      <c r="AQ244" s="562">
        <f t="shared" si="49"/>
        <v>0</v>
      </c>
      <c r="AR244" s="562">
        <f t="shared" si="49"/>
        <v>0</v>
      </c>
      <c r="AS244" s="562">
        <f t="shared" si="49"/>
        <v>0</v>
      </c>
      <c r="AT244" s="562">
        <f t="shared" si="49"/>
        <v>0</v>
      </c>
      <c r="AU244" s="562">
        <f t="shared" si="49"/>
        <v>0</v>
      </c>
      <c r="AV244" s="562">
        <f t="shared" si="49"/>
        <v>0</v>
      </c>
      <c r="AW244" s="562">
        <f t="shared" si="49"/>
        <v>0</v>
      </c>
      <c r="AX244" s="548"/>
      <c r="AY244" s="548"/>
      <c r="AZ244" s="548"/>
    </row>
    <row r="245" spans="1:52" ht="30" hidden="1" outlineLevel="1" x14ac:dyDescent="0.25">
      <c r="A245" s="540" t="str">
        <f t="shared" si="44"/>
        <v>2</v>
      </c>
      <c r="B245" s="520" t="s">
        <v>873</v>
      </c>
      <c r="D245" s="520" t="s">
        <v>874</v>
      </c>
      <c r="L245" s="551" t="s">
        <v>875</v>
      </c>
      <c r="M245" s="595" t="s">
        <v>876</v>
      </c>
      <c r="N245" s="553" t="s">
        <v>123</v>
      </c>
      <c r="O245" s="566">
        <v>0</v>
      </c>
      <c r="P245" s="566"/>
      <c r="Q245" s="566"/>
      <c r="R245" s="562">
        <v>0</v>
      </c>
      <c r="S245" s="566">
        <v>0</v>
      </c>
      <c r="T245" s="566">
        <v>0</v>
      </c>
      <c r="U245" s="566"/>
      <c r="V245" s="566"/>
      <c r="W245" s="566"/>
      <c r="X245" s="566"/>
      <c r="Y245" s="566"/>
      <c r="Z245" s="566"/>
      <c r="AA245" s="566"/>
      <c r="AB245" s="566"/>
      <c r="AC245" s="566"/>
      <c r="AD245" s="566">
        <v>0</v>
      </c>
      <c r="AE245" s="566"/>
      <c r="AF245" s="566"/>
      <c r="AG245" s="566"/>
      <c r="AH245" s="566"/>
      <c r="AI245" s="566"/>
      <c r="AJ245" s="566"/>
      <c r="AK245" s="566"/>
      <c r="AL245" s="566"/>
      <c r="AM245" s="566"/>
      <c r="AN245" s="556"/>
      <c r="AO245" s="556"/>
      <c r="AP245" s="556"/>
      <c r="AQ245" s="556"/>
      <c r="AR245" s="556"/>
      <c r="AS245" s="556"/>
      <c r="AT245" s="556"/>
      <c r="AU245" s="556"/>
      <c r="AV245" s="556"/>
      <c r="AW245" s="556"/>
      <c r="AX245" s="548"/>
      <c r="AY245" s="548"/>
      <c r="AZ245" s="548"/>
    </row>
    <row r="246" spans="1:52" ht="22.5" hidden="1" outlineLevel="1" x14ac:dyDescent="0.25">
      <c r="A246" s="540" t="str">
        <f t="shared" si="44"/>
        <v>2</v>
      </c>
      <c r="B246" s="520" t="s">
        <v>877</v>
      </c>
      <c r="D246" s="520" t="s">
        <v>878</v>
      </c>
      <c r="L246" s="551" t="s">
        <v>879</v>
      </c>
      <c r="M246" s="586" t="s">
        <v>880</v>
      </c>
      <c r="N246" s="553" t="s">
        <v>123</v>
      </c>
      <c r="O246" s="566">
        <v>0</v>
      </c>
      <c r="P246" s="566"/>
      <c r="Q246" s="566"/>
      <c r="R246" s="562">
        <v>0</v>
      </c>
      <c r="S246" s="566">
        <v>0</v>
      </c>
      <c r="T246" s="566">
        <v>0</v>
      </c>
      <c r="U246" s="566"/>
      <c r="V246" s="566"/>
      <c r="W246" s="566"/>
      <c r="X246" s="566"/>
      <c r="Y246" s="566"/>
      <c r="Z246" s="566"/>
      <c r="AA246" s="566"/>
      <c r="AB246" s="566"/>
      <c r="AC246" s="566"/>
      <c r="AD246" s="566">
        <v>0</v>
      </c>
      <c r="AE246" s="566"/>
      <c r="AF246" s="566"/>
      <c r="AG246" s="566"/>
      <c r="AH246" s="566"/>
      <c r="AI246" s="566"/>
      <c r="AJ246" s="566"/>
      <c r="AK246" s="566"/>
      <c r="AL246" s="566"/>
      <c r="AM246" s="566"/>
      <c r="AN246" s="556"/>
      <c r="AO246" s="556"/>
      <c r="AP246" s="556"/>
      <c r="AQ246" s="556"/>
      <c r="AR246" s="556"/>
      <c r="AS246" s="556"/>
      <c r="AT246" s="556"/>
      <c r="AU246" s="556"/>
      <c r="AV246" s="556"/>
      <c r="AW246" s="556"/>
      <c r="AX246" s="548"/>
      <c r="AY246" s="548"/>
      <c r="AZ246" s="548"/>
    </row>
    <row r="247" spans="1:52" ht="11.25" hidden="1" outlineLevel="1" x14ac:dyDescent="0.25">
      <c r="A247" s="540" t="str">
        <f t="shared" si="44"/>
        <v>2</v>
      </c>
      <c r="B247" s="520" t="s">
        <v>863</v>
      </c>
      <c r="D247" s="520" t="s">
        <v>881</v>
      </c>
      <c r="L247" s="596" t="s">
        <v>237</v>
      </c>
      <c r="M247" s="587" t="s">
        <v>882</v>
      </c>
      <c r="N247" s="553" t="s">
        <v>123</v>
      </c>
      <c r="O247" s="566">
        <v>0</v>
      </c>
      <c r="P247" s="566"/>
      <c r="Q247" s="566"/>
      <c r="R247" s="562">
        <v>0</v>
      </c>
      <c r="S247" s="566">
        <v>0</v>
      </c>
      <c r="T247" s="566">
        <v>0</v>
      </c>
      <c r="U247" s="566"/>
      <c r="V247" s="566"/>
      <c r="W247" s="566"/>
      <c r="X247" s="566"/>
      <c r="Y247" s="566"/>
      <c r="Z247" s="566"/>
      <c r="AA247" s="566"/>
      <c r="AB247" s="566"/>
      <c r="AC247" s="566"/>
      <c r="AD247" s="566">
        <v>0</v>
      </c>
      <c r="AE247" s="566"/>
      <c r="AF247" s="566"/>
      <c r="AG247" s="566"/>
      <c r="AH247" s="566"/>
      <c r="AI247" s="566"/>
      <c r="AJ247" s="566"/>
      <c r="AK247" s="566"/>
      <c r="AL247" s="566"/>
      <c r="AM247" s="566"/>
      <c r="AN247" s="556"/>
      <c r="AO247" s="556"/>
      <c r="AP247" s="556"/>
      <c r="AQ247" s="556"/>
      <c r="AR247" s="556"/>
      <c r="AS247" s="556"/>
      <c r="AT247" s="556"/>
      <c r="AU247" s="556"/>
      <c r="AV247" s="556"/>
      <c r="AW247" s="556"/>
      <c r="AX247" s="548"/>
      <c r="AY247" s="548"/>
      <c r="AZ247" s="548"/>
    </row>
    <row r="248" spans="1:52" ht="11.25" hidden="1" outlineLevel="1" x14ac:dyDescent="0.25">
      <c r="A248" s="540" t="str">
        <f t="shared" si="44"/>
        <v>2</v>
      </c>
      <c r="B248" s="520" t="s">
        <v>883</v>
      </c>
      <c r="D248" s="520" t="s">
        <v>884</v>
      </c>
      <c r="L248" s="596" t="s">
        <v>239</v>
      </c>
      <c r="M248" s="587" t="s">
        <v>885</v>
      </c>
      <c r="N248" s="553" t="s">
        <v>123</v>
      </c>
      <c r="O248" s="566">
        <v>0</v>
      </c>
      <c r="P248" s="566"/>
      <c r="Q248" s="566"/>
      <c r="R248" s="562">
        <v>0</v>
      </c>
      <c r="S248" s="566">
        <v>0</v>
      </c>
      <c r="T248" s="566"/>
      <c r="U248" s="566"/>
      <c r="V248" s="566"/>
      <c r="W248" s="566"/>
      <c r="X248" s="566"/>
      <c r="Y248" s="566"/>
      <c r="Z248" s="566"/>
      <c r="AA248" s="566"/>
      <c r="AB248" s="566"/>
      <c r="AC248" s="566"/>
      <c r="AD248" s="566">
        <v>0</v>
      </c>
      <c r="AE248" s="566"/>
      <c r="AF248" s="566"/>
      <c r="AG248" s="566"/>
      <c r="AH248" s="566"/>
      <c r="AI248" s="566"/>
      <c r="AJ248" s="566"/>
      <c r="AK248" s="566"/>
      <c r="AL248" s="566"/>
      <c r="AM248" s="566"/>
      <c r="AN248" s="556"/>
      <c r="AO248" s="556"/>
      <c r="AP248" s="556"/>
      <c r="AQ248" s="556"/>
      <c r="AR248" s="556"/>
      <c r="AS248" s="556"/>
      <c r="AT248" s="556"/>
      <c r="AU248" s="556"/>
      <c r="AV248" s="556"/>
      <c r="AW248" s="556"/>
      <c r="AX248" s="548"/>
      <c r="AY248" s="548"/>
      <c r="AZ248" s="548"/>
    </row>
    <row r="249" spans="1:52" s="572" customFormat="1" ht="11.25" outlineLevel="1" x14ac:dyDescent="0.25">
      <c r="A249" s="540" t="str">
        <f t="shared" si="44"/>
        <v>2</v>
      </c>
      <c r="D249" s="572" t="s">
        <v>883</v>
      </c>
      <c r="L249" s="573" t="s">
        <v>259</v>
      </c>
      <c r="M249" s="590" t="s">
        <v>886</v>
      </c>
      <c r="N249" s="575" t="s">
        <v>123</v>
      </c>
      <c r="O249" s="547">
        <v>0</v>
      </c>
      <c r="P249" s="547"/>
      <c r="Q249" s="547"/>
      <c r="R249" s="546">
        <v>0</v>
      </c>
      <c r="S249" s="547">
        <v>-176</v>
      </c>
      <c r="T249" s="547"/>
      <c r="U249" s="547"/>
      <c r="V249" s="547"/>
      <c r="W249" s="547"/>
      <c r="X249" s="547"/>
      <c r="Y249" s="547"/>
      <c r="Z249" s="547"/>
      <c r="AA249" s="547"/>
      <c r="AB249" s="547"/>
      <c r="AC249" s="547"/>
      <c r="AD249" s="547">
        <v>88</v>
      </c>
      <c r="AE249" s="547"/>
      <c r="AF249" s="547"/>
      <c r="AG249" s="547"/>
      <c r="AH249" s="547"/>
      <c r="AI249" s="547"/>
      <c r="AJ249" s="547"/>
      <c r="AK249" s="547"/>
      <c r="AL249" s="547"/>
      <c r="AM249" s="547"/>
      <c r="AN249" s="558"/>
      <c r="AO249" s="558"/>
      <c r="AP249" s="558"/>
      <c r="AQ249" s="558"/>
      <c r="AR249" s="558"/>
      <c r="AS249" s="558"/>
      <c r="AT249" s="558"/>
      <c r="AU249" s="558"/>
      <c r="AV249" s="558"/>
      <c r="AW249" s="558"/>
      <c r="AX249" s="559"/>
      <c r="AY249" s="559"/>
      <c r="AZ249" s="559"/>
    </row>
    <row r="250" spans="1:52" ht="11.25" outlineLevel="1" x14ac:dyDescent="0.25">
      <c r="A250" s="540" t="str">
        <f t="shared" si="44"/>
        <v>2</v>
      </c>
      <c r="D250" s="520" t="s">
        <v>887</v>
      </c>
      <c r="L250" s="551" t="s">
        <v>888</v>
      </c>
      <c r="M250" s="552" t="s">
        <v>889</v>
      </c>
      <c r="N250" s="553" t="s">
        <v>46</v>
      </c>
      <c r="O250" s="562">
        <v>0</v>
      </c>
      <c r="P250" s="562">
        <v>0</v>
      </c>
      <c r="Q250" s="562">
        <v>0</v>
      </c>
      <c r="R250" s="562">
        <v>0</v>
      </c>
      <c r="S250" s="562">
        <v>-9.5416226179827053</v>
      </c>
      <c r="T250" s="562">
        <v>0</v>
      </c>
      <c r="U250" s="562">
        <v>0</v>
      </c>
      <c r="V250" s="562">
        <v>0</v>
      </c>
      <c r="W250" s="562">
        <v>0</v>
      </c>
      <c r="X250" s="562">
        <v>0</v>
      </c>
      <c r="Y250" s="562">
        <v>0</v>
      </c>
      <c r="Z250" s="562">
        <v>0</v>
      </c>
      <c r="AA250" s="562">
        <v>0</v>
      </c>
      <c r="AB250" s="562">
        <v>0</v>
      </c>
      <c r="AC250" s="562">
        <v>0</v>
      </c>
      <c r="AD250" s="562">
        <v>4.5494494132244219</v>
      </c>
      <c r="AE250" s="562" t="e">
        <f t="shared" ref="AE250:AM250" si="50">IF(AE251=0,0,AE249/AE251*100)</f>
        <v>#VALUE!</v>
      </c>
      <c r="AF250" s="562" t="e">
        <f t="shared" si="50"/>
        <v>#VALUE!</v>
      </c>
      <c r="AG250" s="562" t="e">
        <f t="shared" si="50"/>
        <v>#VALUE!</v>
      </c>
      <c r="AH250" s="562" t="e">
        <f t="shared" si="50"/>
        <v>#REF!</v>
      </c>
      <c r="AI250" s="562" t="e">
        <f t="shared" si="50"/>
        <v>#REF!</v>
      </c>
      <c r="AJ250" s="562" t="e">
        <f t="shared" si="50"/>
        <v>#REF!</v>
      </c>
      <c r="AK250" s="562" t="e">
        <f t="shared" si="50"/>
        <v>#REF!</v>
      </c>
      <c r="AL250" s="562" t="e">
        <f t="shared" si="50"/>
        <v>#REF!</v>
      </c>
      <c r="AM250" s="562" t="e">
        <f t="shared" si="50"/>
        <v>#REF!</v>
      </c>
      <c r="AN250" s="556"/>
      <c r="AO250" s="556"/>
      <c r="AP250" s="556"/>
      <c r="AQ250" s="556"/>
      <c r="AR250" s="556"/>
      <c r="AS250" s="556"/>
      <c r="AT250" s="556"/>
      <c r="AU250" s="556"/>
      <c r="AV250" s="556"/>
      <c r="AW250" s="556"/>
      <c r="AX250" s="548"/>
      <c r="AY250" s="548"/>
      <c r="AZ250" s="548"/>
    </row>
    <row r="251" spans="1:52" s="572" customFormat="1" ht="11.25" outlineLevel="1" x14ac:dyDescent="0.25">
      <c r="A251" s="540" t="str">
        <f t="shared" si="44"/>
        <v>2</v>
      </c>
      <c r="C251" s="520"/>
      <c r="D251" s="520" t="s">
        <v>855</v>
      </c>
      <c r="L251" s="573" t="s">
        <v>261</v>
      </c>
      <c r="M251" s="590" t="s">
        <v>890</v>
      </c>
      <c r="N251" s="545" t="s">
        <v>123</v>
      </c>
      <c r="O251" s="597">
        <v>1341.3700000000001</v>
      </c>
      <c r="P251" s="576">
        <v>1471.9104600000001</v>
      </c>
      <c r="Q251" s="576">
        <v>1326.01</v>
      </c>
      <c r="R251" s="546">
        <v>-145.90046000000007</v>
      </c>
      <c r="S251" s="576">
        <v>1844.5500000000002</v>
      </c>
      <c r="T251" s="576">
        <v>1923.9259999999999</v>
      </c>
      <c r="U251" s="576">
        <v>0</v>
      </c>
      <c r="V251" s="576">
        <v>0</v>
      </c>
      <c r="W251" s="576">
        <v>0</v>
      </c>
      <c r="X251" s="576">
        <v>0</v>
      </c>
      <c r="Y251" s="576">
        <v>0</v>
      </c>
      <c r="Z251" s="576">
        <v>0</v>
      </c>
      <c r="AA251" s="576">
        <v>0</v>
      </c>
      <c r="AB251" s="576">
        <v>0</v>
      </c>
      <c r="AC251" s="576">
        <v>0</v>
      </c>
      <c r="AD251" s="576">
        <v>1934.3000000000002</v>
      </c>
      <c r="AE251" s="576" t="e">
        <f t="shared" ref="AE251:AM251" si="51">AE143+AE193+AE227+AE228+AE230+AE235</f>
        <v>#VALUE!</v>
      </c>
      <c r="AF251" s="576" t="e">
        <f t="shared" si="51"/>
        <v>#VALUE!</v>
      </c>
      <c r="AG251" s="576" t="e">
        <f t="shared" si="51"/>
        <v>#VALUE!</v>
      </c>
      <c r="AH251" s="576" t="e">
        <f t="shared" si="51"/>
        <v>#REF!</v>
      </c>
      <c r="AI251" s="576" t="e">
        <f t="shared" si="51"/>
        <v>#REF!</v>
      </c>
      <c r="AJ251" s="576" t="e">
        <f t="shared" si="51"/>
        <v>#REF!</v>
      </c>
      <c r="AK251" s="576" t="e">
        <f t="shared" si="51"/>
        <v>#REF!</v>
      </c>
      <c r="AL251" s="576" t="e">
        <f t="shared" si="51"/>
        <v>#REF!</v>
      </c>
      <c r="AM251" s="576" t="e">
        <f t="shared" si="51"/>
        <v>#REF!</v>
      </c>
      <c r="AN251" s="546">
        <f>IF(S251=0,0,(AD251-S251)/S251*100)</f>
        <v>4.8656853975224301</v>
      </c>
      <c r="AO251" s="546" t="e">
        <f t="shared" ref="AO251:AW252" si="52">IF(AD251=0,0,(AE251-AD251)/AD251*100)</f>
        <v>#VALUE!</v>
      </c>
      <c r="AP251" s="546" t="e">
        <f t="shared" si="52"/>
        <v>#VALUE!</v>
      </c>
      <c r="AQ251" s="546" t="e">
        <f t="shared" si="52"/>
        <v>#VALUE!</v>
      </c>
      <c r="AR251" s="546" t="e">
        <f t="shared" si="52"/>
        <v>#VALUE!</v>
      </c>
      <c r="AS251" s="546" t="e">
        <f t="shared" si="52"/>
        <v>#REF!</v>
      </c>
      <c r="AT251" s="546" t="e">
        <f t="shared" si="52"/>
        <v>#REF!</v>
      </c>
      <c r="AU251" s="546" t="e">
        <f t="shared" si="52"/>
        <v>#REF!</v>
      </c>
      <c r="AV251" s="546" t="e">
        <f t="shared" si="52"/>
        <v>#REF!</v>
      </c>
      <c r="AW251" s="546" t="e">
        <f t="shared" si="52"/>
        <v>#REF!</v>
      </c>
      <c r="AX251" s="548"/>
      <c r="AY251" s="548"/>
      <c r="AZ251" s="548"/>
    </row>
    <row r="252" spans="1:52" s="572" customFormat="1" ht="11.25" outlineLevel="1" x14ac:dyDescent="0.25">
      <c r="A252" s="540" t="str">
        <f t="shared" si="44"/>
        <v>2</v>
      </c>
      <c r="C252" s="520"/>
      <c r="D252" s="520" t="s">
        <v>891</v>
      </c>
      <c r="L252" s="573" t="s">
        <v>892</v>
      </c>
      <c r="M252" s="590" t="s">
        <v>893</v>
      </c>
      <c r="N252" s="575" t="s">
        <v>123</v>
      </c>
      <c r="O252" s="597">
        <v>1297.5600000000002</v>
      </c>
      <c r="P252" s="576">
        <v>1471.9104600000001</v>
      </c>
      <c r="Q252" s="576">
        <v>1282.2</v>
      </c>
      <c r="R252" s="576">
        <v>-189.71046000000007</v>
      </c>
      <c r="S252" s="576">
        <v>1597.4500000000003</v>
      </c>
      <c r="T252" s="576">
        <v>1923.9259999999999</v>
      </c>
      <c r="U252" s="576">
        <v>0</v>
      </c>
      <c r="V252" s="576">
        <v>0</v>
      </c>
      <c r="W252" s="576">
        <v>0</v>
      </c>
      <c r="X252" s="576">
        <v>0</v>
      </c>
      <c r="Y252" s="576">
        <v>0</v>
      </c>
      <c r="Z252" s="576">
        <v>0</v>
      </c>
      <c r="AA252" s="576">
        <v>0</v>
      </c>
      <c r="AB252" s="576">
        <v>0</v>
      </c>
      <c r="AC252" s="576">
        <v>0</v>
      </c>
      <c r="AD252" s="576">
        <v>1985.7400000000002</v>
      </c>
      <c r="AE252" s="576" t="e">
        <f t="shared" ref="AE252:AM252" si="53">AE251+AE236+AE249</f>
        <v>#VALUE!</v>
      </c>
      <c r="AF252" s="576" t="e">
        <f t="shared" si="53"/>
        <v>#VALUE!</v>
      </c>
      <c r="AG252" s="576" t="e">
        <f t="shared" si="53"/>
        <v>#VALUE!</v>
      </c>
      <c r="AH252" s="576" t="e">
        <f t="shared" si="53"/>
        <v>#REF!</v>
      </c>
      <c r="AI252" s="576" t="e">
        <f t="shared" si="53"/>
        <v>#REF!</v>
      </c>
      <c r="AJ252" s="576" t="e">
        <f t="shared" si="53"/>
        <v>#REF!</v>
      </c>
      <c r="AK252" s="576" t="e">
        <f t="shared" si="53"/>
        <v>#REF!</v>
      </c>
      <c r="AL252" s="576" t="e">
        <f t="shared" si="53"/>
        <v>#REF!</v>
      </c>
      <c r="AM252" s="576" t="e">
        <f t="shared" si="53"/>
        <v>#REF!</v>
      </c>
      <c r="AN252" s="546">
        <f>IF(S252=0,0,(AD252-S252)/S252*100)</f>
        <v>24.306864064602955</v>
      </c>
      <c r="AO252" s="546" t="e">
        <f t="shared" si="52"/>
        <v>#VALUE!</v>
      </c>
      <c r="AP252" s="546" t="e">
        <f t="shared" si="52"/>
        <v>#VALUE!</v>
      </c>
      <c r="AQ252" s="546" t="e">
        <f t="shared" si="52"/>
        <v>#VALUE!</v>
      </c>
      <c r="AR252" s="546" t="e">
        <f t="shared" si="52"/>
        <v>#VALUE!</v>
      </c>
      <c r="AS252" s="546" t="e">
        <f t="shared" si="52"/>
        <v>#REF!</v>
      </c>
      <c r="AT252" s="546" t="e">
        <f t="shared" si="52"/>
        <v>#REF!</v>
      </c>
      <c r="AU252" s="546" t="e">
        <f t="shared" si="52"/>
        <v>#REF!</v>
      </c>
      <c r="AV252" s="546" t="e">
        <f t="shared" si="52"/>
        <v>#REF!</v>
      </c>
      <c r="AW252" s="546" t="e">
        <f t="shared" si="52"/>
        <v>#REF!</v>
      </c>
      <c r="AX252" s="548"/>
      <c r="AY252" s="548"/>
      <c r="AZ252" s="548"/>
    </row>
    <row r="253" spans="1:52" ht="15" hidden="1" outlineLevel="1" x14ac:dyDescent="0.25">
      <c r="A253" s="540" t="str">
        <f t="shared" si="44"/>
        <v>2</v>
      </c>
      <c r="C253" s="577" t="b">
        <f>B142="двухставочный"</f>
        <v>0</v>
      </c>
      <c r="D253" s="598" t="s">
        <v>894</v>
      </c>
      <c r="L253" s="596" t="s">
        <v>895</v>
      </c>
      <c r="M253" s="587" t="s">
        <v>896</v>
      </c>
      <c r="N253" s="553" t="s">
        <v>123</v>
      </c>
      <c r="O253" s="566"/>
      <c r="P253" s="566"/>
      <c r="Q253" s="566"/>
      <c r="R253" s="562">
        <v>0</v>
      </c>
      <c r="S253" s="566"/>
      <c r="T253" s="566"/>
      <c r="U253" s="566"/>
      <c r="V253" s="566"/>
      <c r="W253" s="566"/>
      <c r="X253" s="566"/>
      <c r="Y253" s="566"/>
      <c r="Z253" s="566"/>
      <c r="AA253" s="566"/>
      <c r="AB253" s="566"/>
      <c r="AC253" s="566"/>
      <c r="AD253" s="566"/>
      <c r="AE253" s="566"/>
      <c r="AF253" s="566"/>
      <c r="AG253" s="566"/>
      <c r="AH253" s="566"/>
      <c r="AI253" s="566"/>
      <c r="AJ253" s="566"/>
      <c r="AK253" s="566"/>
      <c r="AL253" s="566"/>
      <c r="AM253" s="566"/>
      <c r="AN253" s="556"/>
      <c r="AO253" s="556"/>
      <c r="AP253" s="556"/>
      <c r="AQ253" s="556"/>
      <c r="AR253" s="556"/>
      <c r="AS253" s="556"/>
      <c r="AT253" s="556"/>
      <c r="AU253" s="556"/>
      <c r="AV253" s="556"/>
      <c r="AW253" s="556"/>
      <c r="AX253" s="548"/>
      <c r="AY253" s="548"/>
      <c r="AZ253" s="548"/>
    </row>
    <row r="254" spans="1:52" ht="15" hidden="1" outlineLevel="1" x14ac:dyDescent="0.25">
      <c r="A254" s="540" t="str">
        <f t="shared" si="44"/>
        <v>2</v>
      </c>
      <c r="C254" s="577" t="b">
        <f>B142="двухставочный"</f>
        <v>0</v>
      </c>
      <c r="D254" s="598" t="s">
        <v>897</v>
      </c>
      <c r="L254" s="596" t="s">
        <v>898</v>
      </c>
      <c r="M254" s="587" t="s">
        <v>899</v>
      </c>
      <c r="N254" s="553" t="s">
        <v>123</v>
      </c>
      <c r="O254" s="566"/>
      <c r="P254" s="566"/>
      <c r="Q254" s="566"/>
      <c r="R254" s="562">
        <v>0</v>
      </c>
      <c r="S254" s="566"/>
      <c r="T254" s="566"/>
      <c r="U254" s="566"/>
      <c r="V254" s="566"/>
      <c r="W254" s="566"/>
      <c r="X254" s="566"/>
      <c r="Y254" s="566"/>
      <c r="Z254" s="566"/>
      <c r="AA254" s="566"/>
      <c r="AB254" s="566"/>
      <c r="AC254" s="566"/>
      <c r="AD254" s="566"/>
      <c r="AE254" s="566"/>
      <c r="AF254" s="566"/>
      <c r="AG254" s="566"/>
      <c r="AH254" s="566"/>
      <c r="AI254" s="566"/>
      <c r="AJ254" s="566"/>
      <c r="AK254" s="566"/>
      <c r="AL254" s="566"/>
      <c r="AM254" s="566"/>
      <c r="AN254" s="556"/>
      <c r="AO254" s="556"/>
      <c r="AP254" s="556"/>
      <c r="AQ254" s="556"/>
      <c r="AR254" s="556"/>
      <c r="AS254" s="556"/>
      <c r="AT254" s="556"/>
      <c r="AU254" s="556"/>
      <c r="AV254" s="556"/>
      <c r="AW254" s="556"/>
      <c r="AX254" s="548"/>
      <c r="AY254" s="548"/>
      <c r="AZ254" s="548"/>
    </row>
    <row r="255" spans="1:52" s="572" customFormat="1" ht="11.25" outlineLevel="1" x14ac:dyDescent="0.25">
      <c r="A255" s="540" t="str">
        <f t="shared" si="44"/>
        <v>2</v>
      </c>
      <c r="B255" s="520" t="s">
        <v>900</v>
      </c>
      <c r="C255" s="520"/>
      <c r="D255" s="520" t="s">
        <v>901</v>
      </c>
      <c r="L255" s="573" t="s">
        <v>902</v>
      </c>
      <c r="M255" s="590" t="s">
        <v>903</v>
      </c>
      <c r="N255" s="575" t="s">
        <v>14</v>
      </c>
      <c r="O255" s="599">
        <v>20.7</v>
      </c>
      <c r="P255" s="599">
        <v>20.339000000000002</v>
      </c>
      <c r="Q255" s="599">
        <v>20.339000000000002</v>
      </c>
      <c r="R255" s="599">
        <v>0</v>
      </c>
      <c r="S255" s="599">
        <v>21.5198</v>
      </c>
      <c r="T255" s="599">
        <v>21.518999999999998</v>
      </c>
      <c r="U255" s="599">
        <v>21.5198</v>
      </c>
      <c r="V255" s="599">
        <v>21.5198</v>
      </c>
      <c r="W255" s="599">
        <v>21.5198</v>
      </c>
      <c r="X255" s="599">
        <v>0</v>
      </c>
      <c r="Y255" s="599">
        <v>0</v>
      </c>
      <c r="Z255" s="599">
        <v>0</v>
      </c>
      <c r="AA255" s="599">
        <v>0</v>
      </c>
      <c r="AB255" s="599">
        <v>0</v>
      </c>
      <c r="AC255" s="599">
        <v>0</v>
      </c>
      <c r="AD255" s="599">
        <v>21.5198</v>
      </c>
      <c r="AE255" s="599">
        <f>SUMIFS([14]Баланс!AD$16:AD$95,[14]Баланс!$A$16:$A$95,$A255,[14]Баланс!$B$16:$B$95,"ПО")</f>
        <v>21.5198</v>
      </c>
      <c r="AF255" s="599">
        <f>SUMIFS([14]Баланс!AE$16:AE$95,[14]Баланс!$A$16:$A$95,$A255,[14]Баланс!$B$16:$B$95,"ПО")</f>
        <v>21.5198</v>
      </c>
      <c r="AG255" s="599">
        <f>SUMIFS([14]Баланс!AF$16:AF$95,[14]Баланс!$A$16:$A$95,$A255,[14]Баланс!$B$16:$B$95,"ПО")</f>
        <v>21.5198</v>
      </c>
      <c r="AH255" s="599">
        <f>SUMIFS([14]Баланс!AG$16:AG$95,[14]Баланс!$A$16:$A$95,$A255,[14]Баланс!$B$16:$B$95,"ПО")</f>
        <v>0</v>
      </c>
      <c r="AI255" s="599">
        <f>SUMIFS([14]Баланс!AH$16:AH$95,[14]Баланс!$A$16:$A$95,$A255,[14]Баланс!$B$16:$B$95,"ПО")</f>
        <v>0</v>
      </c>
      <c r="AJ255" s="599">
        <f>SUMIFS([14]Баланс!AI$16:AI$95,[14]Баланс!$A$16:$A$95,$A255,[14]Баланс!$B$16:$B$95,"ПО")</f>
        <v>0</v>
      </c>
      <c r="AK255" s="599">
        <f>SUMIFS([14]Баланс!AJ$16:AJ$95,[14]Баланс!$A$16:$A$95,$A255,[14]Баланс!$B$16:$B$95,"ПО")</f>
        <v>0</v>
      </c>
      <c r="AL255" s="599">
        <f>SUMIFS([14]Баланс!AK$16:AK$95,[14]Баланс!$A$16:$A$95,$A255,[14]Баланс!$B$16:$B$95,"ПО")</f>
        <v>0</v>
      </c>
      <c r="AM255" s="599">
        <f>SUMIFS([14]Баланс!AL$16:AL$95,[14]Баланс!$A$16:$A$95,$A255,[14]Баланс!$B$16:$B$95,"ПО")</f>
        <v>0</v>
      </c>
      <c r="AN255" s="558"/>
      <c r="AO255" s="558"/>
      <c r="AP255" s="558"/>
      <c r="AQ255" s="558"/>
      <c r="AR255" s="558"/>
      <c r="AS255" s="558"/>
      <c r="AT255" s="558"/>
      <c r="AU255" s="558"/>
      <c r="AV255" s="558"/>
      <c r="AW255" s="558"/>
      <c r="AX255" s="548"/>
      <c r="AY255" s="548"/>
      <c r="AZ255" s="548"/>
    </row>
    <row r="256" spans="1:52" ht="15" outlineLevel="1" x14ac:dyDescent="0.25">
      <c r="A256" s="540" t="str">
        <f t="shared" si="44"/>
        <v>2</v>
      </c>
      <c r="B256" s="520" t="s">
        <v>904</v>
      </c>
      <c r="D256" s="520" t="s">
        <v>905</v>
      </c>
      <c r="L256" s="551" t="s">
        <v>906</v>
      </c>
      <c r="M256" s="594" t="s">
        <v>907</v>
      </c>
      <c r="N256" s="553" t="s">
        <v>14</v>
      </c>
      <c r="O256" s="600">
        <v>10.35</v>
      </c>
      <c r="P256" s="600">
        <v>10.169500000000001</v>
      </c>
      <c r="Q256" s="600">
        <v>10.169500000000001</v>
      </c>
      <c r="R256" s="555">
        <v>0</v>
      </c>
      <c r="S256" s="600">
        <v>10.7599</v>
      </c>
      <c r="T256" s="600">
        <v>10.76</v>
      </c>
      <c r="U256" s="600">
        <v>10.7599</v>
      </c>
      <c r="V256" s="600">
        <v>10.7599</v>
      </c>
      <c r="W256" s="600">
        <v>10.7599</v>
      </c>
      <c r="X256" s="600">
        <v>0</v>
      </c>
      <c r="Y256" s="600">
        <v>0</v>
      </c>
      <c r="Z256" s="600">
        <v>0</v>
      </c>
      <c r="AA256" s="600">
        <v>0</v>
      </c>
      <c r="AB256" s="600">
        <v>0</v>
      </c>
      <c r="AC256" s="600">
        <v>0</v>
      </c>
      <c r="AD256" s="600">
        <v>10.7599</v>
      </c>
      <c r="AE256" s="600">
        <v>10.7599</v>
      </c>
      <c r="AF256" s="600">
        <v>10.7599</v>
      </c>
      <c r="AG256" s="600">
        <v>10.7599</v>
      </c>
      <c r="AH256" s="600">
        <f t="shared" ref="AH256:AM256" si="54">AH255/2</f>
        <v>0</v>
      </c>
      <c r="AI256" s="600">
        <f t="shared" si="54"/>
        <v>0</v>
      </c>
      <c r="AJ256" s="600">
        <f t="shared" si="54"/>
        <v>0</v>
      </c>
      <c r="AK256" s="600">
        <f t="shared" si="54"/>
        <v>0</v>
      </c>
      <c r="AL256" s="600">
        <f t="shared" si="54"/>
        <v>0</v>
      </c>
      <c r="AM256" s="600">
        <f t="shared" si="54"/>
        <v>0</v>
      </c>
      <c r="AN256" s="556"/>
      <c r="AO256" s="556"/>
      <c r="AP256" s="556"/>
      <c r="AQ256" s="556"/>
      <c r="AR256" s="556"/>
      <c r="AS256" s="556"/>
      <c r="AT256" s="556"/>
      <c r="AU256" s="556"/>
      <c r="AV256" s="556"/>
      <c r="AW256" s="556"/>
      <c r="AX256" s="548"/>
      <c r="AY256" s="548"/>
      <c r="AZ256" s="548"/>
    </row>
    <row r="257" spans="1:52" ht="15" outlineLevel="1" x14ac:dyDescent="0.25">
      <c r="A257" s="540" t="str">
        <f t="shared" si="44"/>
        <v>2</v>
      </c>
      <c r="B257" s="520" t="s">
        <v>908</v>
      </c>
      <c r="D257" s="520" t="s">
        <v>909</v>
      </c>
      <c r="L257" s="551" t="s">
        <v>910</v>
      </c>
      <c r="M257" s="594" t="s">
        <v>911</v>
      </c>
      <c r="N257" s="553" t="s">
        <v>912</v>
      </c>
      <c r="O257" s="601">
        <v>62.68</v>
      </c>
      <c r="P257" s="601">
        <v>72.37</v>
      </c>
      <c r="Q257" s="601">
        <v>63.04</v>
      </c>
      <c r="R257" s="562">
        <v>-9.3300000000000054</v>
      </c>
      <c r="S257" s="601">
        <v>62.68</v>
      </c>
      <c r="T257" s="601">
        <v>85.78</v>
      </c>
      <c r="U257" s="601">
        <v>191.93</v>
      </c>
      <c r="V257" s="601">
        <v>207.21</v>
      </c>
      <c r="W257" s="601">
        <v>207.83</v>
      </c>
      <c r="X257" s="601"/>
      <c r="Y257" s="601"/>
      <c r="Z257" s="601"/>
      <c r="AA257" s="601"/>
      <c r="AB257" s="601"/>
      <c r="AC257" s="601"/>
      <c r="AD257" s="601">
        <v>85.78</v>
      </c>
      <c r="AE257" s="601">
        <v>93.83</v>
      </c>
      <c r="AF257" s="601">
        <v>93.83</v>
      </c>
      <c r="AG257" s="601">
        <v>96.45</v>
      </c>
      <c r="AH257" s="601"/>
      <c r="AI257" s="601"/>
      <c r="AJ257" s="601"/>
      <c r="AK257" s="601"/>
      <c r="AL257" s="601"/>
      <c r="AM257" s="601"/>
      <c r="AN257" s="556"/>
      <c r="AO257" s="556"/>
      <c r="AP257" s="556"/>
      <c r="AQ257" s="556"/>
      <c r="AR257" s="556"/>
      <c r="AS257" s="556"/>
      <c r="AT257" s="556"/>
      <c r="AU257" s="556"/>
      <c r="AV257" s="556"/>
      <c r="AW257" s="556"/>
      <c r="AX257" s="548"/>
      <c r="AY257" s="548"/>
      <c r="AZ257" s="548"/>
    </row>
    <row r="258" spans="1:52" ht="15" outlineLevel="1" x14ac:dyDescent="0.25">
      <c r="A258" s="540" t="str">
        <f t="shared" si="44"/>
        <v>2</v>
      </c>
      <c r="B258" s="520" t="s">
        <v>913</v>
      </c>
      <c r="D258" s="520" t="s">
        <v>914</v>
      </c>
      <c r="L258" s="551" t="s">
        <v>915</v>
      </c>
      <c r="M258" s="594" t="s">
        <v>916</v>
      </c>
      <c r="N258" s="553" t="s">
        <v>14</v>
      </c>
      <c r="O258" s="602">
        <v>10.35</v>
      </c>
      <c r="P258" s="602">
        <v>10.169500000000001</v>
      </c>
      <c r="Q258" s="602">
        <v>10.169500000000001</v>
      </c>
      <c r="R258" s="555">
        <v>0</v>
      </c>
      <c r="S258" s="602">
        <v>10.7599</v>
      </c>
      <c r="T258" s="602">
        <v>10.758999999999999</v>
      </c>
      <c r="U258" s="602">
        <v>10.7599</v>
      </c>
      <c r="V258" s="602">
        <v>10.7599</v>
      </c>
      <c r="W258" s="602">
        <v>10.7599</v>
      </c>
      <c r="X258" s="602">
        <v>0</v>
      </c>
      <c r="Y258" s="602">
        <v>0</v>
      </c>
      <c r="Z258" s="602">
        <v>0</v>
      </c>
      <c r="AA258" s="602">
        <v>0</v>
      </c>
      <c r="AB258" s="602">
        <v>0</v>
      </c>
      <c r="AC258" s="602">
        <v>0</v>
      </c>
      <c r="AD258" s="602">
        <v>10.7599</v>
      </c>
      <c r="AE258" s="602">
        <f t="shared" ref="AE258:AM258" si="55">AE255-AE256</f>
        <v>10.7599</v>
      </c>
      <c r="AF258" s="602">
        <f t="shared" si="55"/>
        <v>10.7599</v>
      </c>
      <c r="AG258" s="602">
        <f t="shared" si="55"/>
        <v>10.7599</v>
      </c>
      <c r="AH258" s="602">
        <f t="shared" si="55"/>
        <v>0</v>
      </c>
      <c r="AI258" s="602">
        <f t="shared" si="55"/>
        <v>0</v>
      </c>
      <c r="AJ258" s="602">
        <f t="shared" si="55"/>
        <v>0</v>
      </c>
      <c r="AK258" s="602">
        <f t="shared" si="55"/>
        <v>0</v>
      </c>
      <c r="AL258" s="602">
        <f t="shared" si="55"/>
        <v>0</v>
      </c>
      <c r="AM258" s="602">
        <f t="shared" si="55"/>
        <v>0</v>
      </c>
      <c r="AN258" s="556"/>
      <c r="AO258" s="556"/>
      <c r="AP258" s="556"/>
      <c r="AQ258" s="556"/>
      <c r="AR258" s="556"/>
      <c r="AS258" s="556"/>
      <c r="AT258" s="556"/>
      <c r="AU258" s="556"/>
      <c r="AV258" s="556"/>
      <c r="AW258" s="556"/>
      <c r="AX258" s="548"/>
      <c r="AY258" s="548"/>
      <c r="AZ258" s="548"/>
    </row>
    <row r="259" spans="1:52" ht="15" outlineLevel="1" x14ac:dyDescent="0.25">
      <c r="A259" s="540" t="str">
        <f t="shared" si="44"/>
        <v>2</v>
      </c>
      <c r="B259" s="520" t="s">
        <v>917</v>
      </c>
      <c r="D259" s="520" t="s">
        <v>918</v>
      </c>
      <c r="L259" s="551" t="s">
        <v>919</v>
      </c>
      <c r="M259" s="594" t="s">
        <v>920</v>
      </c>
      <c r="N259" s="553" t="s">
        <v>912</v>
      </c>
      <c r="O259" s="601">
        <v>62.68</v>
      </c>
      <c r="P259" s="601">
        <v>72.367741285215587</v>
      </c>
      <c r="Q259" s="601">
        <v>63.042894930920887</v>
      </c>
      <c r="R259" s="562">
        <v>-9.3248463542946993</v>
      </c>
      <c r="S259" s="601">
        <v>85.78</v>
      </c>
      <c r="T259" s="601">
        <v>93.032177711683246</v>
      </c>
      <c r="U259" s="601">
        <v>207.21</v>
      </c>
      <c r="V259" s="601">
        <v>207.83</v>
      </c>
      <c r="W259" s="601">
        <v>223.74</v>
      </c>
      <c r="X259" s="601">
        <v>0</v>
      </c>
      <c r="Y259" s="601">
        <v>0</v>
      </c>
      <c r="Z259" s="601">
        <v>0</v>
      </c>
      <c r="AA259" s="601">
        <v>0</v>
      </c>
      <c r="AB259" s="601">
        <v>0</v>
      </c>
      <c r="AC259" s="601">
        <v>0</v>
      </c>
      <c r="AD259" s="601">
        <v>98.770042286638372</v>
      </c>
      <c r="AE259" s="601">
        <v>93.83</v>
      </c>
      <c r="AF259" s="601">
        <v>99.13</v>
      </c>
      <c r="AG259" s="601">
        <v>96.45</v>
      </c>
      <c r="AH259" s="601">
        <f t="shared" ref="AH259:AM259" si="56">IF(AH258=0,0,(AH252-AH256*AH257)/AH258)</f>
        <v>0</v>
      </c>
      <c r="AI259" s="601">
        <f t="shared" si="56"/>
        <v>0</v>
      </c>
      <c r="AJ259" s="601">
        <f t="shared" si="56"/>
        <v>0</v>
      </c>
      <c r="AK259" s="601">
        <f t="shared" si="56"/>
        <v>0</v>
      </c>
      <c r="AL259" s="601">
        <f t="shared" si="56"/>
        <v>0</v>
      </c>
      <c r="AM259" s="601">
        <f t="shared" si="56"/>
        <v>0</v>
      </c>
      <c r="AN259" s="556"/>
      <c r="AO259" s="556"/>
      <c r="AP259" s="556"/>
      <c r="AQ259" s="556"/>
      <c r="AR259" s="556"/>
      <c r="AS259" s="556"/>
      <c r="AT259" s="556"/>
      <c r="AU259" s="556"/>
      <c r="AV259" s="556"/>
      <c r="AW259" s="556"/>
      <c r="AX259" s="548"/>
      <c r="AY259" s="548"/>
      <c r="AZ259" s="548"/>
    </row>
    <row r="260" spans="1:52" ht="11.25" outlineLevel="1" x14ac:dyDescent="0.25">
      <c r="A260" s="540" t="str">
        <f t="shared" si="44"/>
        <v>2</v>
      </c>
      <c r="D260" s="520" t="s">
        <v>921</v>
      </c>
      <c r="L260" s="551" t="s">
        <v>922</v>
      </c>
      <c r="M260" s="552" t="s">
        <v>923</v>
      </c>
      <c r="N260" s="553" t="s">
        <v>46</v>
      </c>
      <c r="O260" s="603">
        <v>100</v>
      </c>
      <c r="P260" s="603">
        <v>99.996878934939318</v>
      </c>
      <c r="Q260" s="603">
        <v>100.00459221275521</v>
      </c>
      <c r="R260" s="556"/>
      <c r="S260" s="603">
        <v>136.85386088066369</v>
      </c>
      <c r="T260" s="603">
        <v>108.45439229620337</v>
      </c>
      <c r="U260" s="603">
        <v>107.96123586724326</v>
      </c>
      <c r="V260" s="603">
        <v>100.29921335842864</v>
      </c>
      <c r="W260" s="603">
        <v>107.65529519318673</v>
      </c>
      <c r="X260" s="603">
        <v>0</v>
      </c>
      <c r="Y260" s="603">
        <v>0</v>
      </c>
      <c r="Z260" s="603">
        <v>0</v>
      </c>
      <c r="AA260" s="603">
        <v>0</v>
      </c>
      <c r="AB260" s="603">
        <v>0</v>
      </c>
      <c r="AC260" s="603">
        <v>0</v>
      </c>
      <c r="AD260" s="603">
        <v>115.14343936423219</v>
      </c>
      <c r="AE260" s="603">
        <f t="shared" ref="AE260:AM260" si="57">IF(AE257=0,0,AE259/AE257*100)</f>
        <v>100</v>
      </c>
      <c r="AF260" s="603">
        <f t="shared" si="57"/>
        <v>105.64851326867739</v>
      </c>
      <c r="AG260" s="603">
        <f t="shared" si="57"/>
        <v>100</v>
      </c>
      <c r="AH260" s="603">
        <f t="shared" si="57"/>
        <v>0</v>
      </c>
      <c r="AI260" s="603">
        <f t="shared" si="57"/>
        <v>0</v>
      </c>
      <c r="AJ260" s="603">
        <f t="shared" si="57"/>
        <v>0</v>
      </c>
      <c r="AK260" s="603">
        <f t="shared" si="57"/>
        <v>0</v>
      </c>
      <c r="AL260" s="603">
        <f t="shared" si="57"/>
        <v>0</v>
      </c>
      <c r="AM260" s="603">
        <f t="shared" si="57"/>
        <v>0</v>
      </c>
      <c r="AN260" s="556"/>
      <c r="AO260" s="556"/>
      <c r="AP260" s="556"/>
      <c r="AQ260" s="556"/>
      <c r="AR260" s="556"/>
      <c r="AS260" s="556"/>
      <c r="AT260" s="556"/>
      <c r="AU260" s="556"/>
      <c r="AV260" s="556"/>
      <c r="AW260" s="556"/>
      <c r="AX260" s="548"/>
      <c r="AY260" s="548"/>
      <c r="AZ260" s="548"/>
    </row>
    <row r="261" spans="1:52" ht="11.25" outlineLevel="1" x14ac:dyDescent="0.25">
      <c r="A261" s="540" t="str">
        <f t="shared" si="44"/>
        <v>2</v>
      </c>
      <c r="D261" s="520" t="s">
        <v>924</v>
      </c>
      <c r="L261" s="551" t="s">
        <v>925</v>
      </c>
      <c r="M261" s="552" t="s">
        <v>926</v>
      </c>
      <c r="N261" s="553" t="s">
        <v>912</v>
      </c>
      <c r="O261" s="601">
        <v>62.684541062800001</v>
      </c>
      <c r="P261" s="601">
        <v>72.368870642607789</v>
      </c>
      <c r="Q261" s="601">
        <v>63.041447465460443</v>
      </c>
      <c r="R261" s="562">
        <v>-9.3274231771473453</v>
      </c>
      <c r="S261" s="601">
        <v>74.231637840500383</v>
      </c>
      <c r="T261" s="601">
        <v>89.405920349458626</v>
      </c>
      <c r="U261" s="601"/>
      <c r="V261" s="601"/>
      <c r="W261" s="601"/>
      <c r="X261" s="601"/>
      <c r="Y261" s="601"/>
      <c r="Z261" s="601"/>
      <c r="AA261" s="601"/>
      <c r="AB261" s="601"/>
      <c r="AC261" s="601"/>
      <c r="AD261" s="601">
        <v>92.275021143319194</v>
      </c>
      <c r="AE261" s="601">
        <v>93.827154927699993</v>
      </c>
      <c r="AF261" s="601">
        <v>96.4784962592</v>
      </c>
      <c r="AG261" s="601">
        <v>96.454527255000002</v>
      </c>
      <c r="AH261" s="601">
        <f t="shared" ref="AH261:AM261" si="58">IF(AH255=0,0,AH252/AH255)</f>
        <v>0</v>
      </c>
      <c r="AI261" s="601">
        <f t="shared" si="58"/>
        <v>0</v>
      </c>
      <c r="AJ261" s="601">
        <f t="shared" si="58"/>
        <v>0</v>
      </c>
      <c r="AK261" s="601">
        <f t="shared" si="58"/>
        <v>0</v>
      </c>
      <c r="AL261" s="601">
        <f t="shared" si="58"/>
        <v>0</v>
      </c>
      <c r="AM261" s="601">
        <f t="shared" si="58"/>
        <v>0</v>
      </c>
      <c r="AN261" s="556"/>
      <c r="AO261" s="556"/>
      <c r="AP261" s="556"/>
      <c r="AQ261" s="556"/>
      <c r="AR261" s="556"/>
      <c r="AS261" s="556"/>
      <c r="AT261" s="556"/>
      <c r="AU261" s="556"/>
      <c r="AV261" s="556"/>
      <c r="AW261" s="556"/>
      <c r="AX261" s="548"/>
      <c r="AY261" s="548"/>
      <c r="AZ261" s="548"/>
    </row>
    <row r="262" spans="1:52" s="572" customFormat="1" ht="11.25" outlineLevel="1" x14ac:dyDescent="0.25">
      <c r="A262" s="540" t="str">
        <f t="shared" si="44"/>
        <v>2</v>
      </c>
      <c r="C262" s="520"/>
      <c r="D262" s="520" t="s">
        <v>927</v>
      </c>
      <c r="L262" s="573" t="s">
        <v>928</v>
      </c>
      <c r="M262" s="590" t="s">
        <v>929</v>
      </c>
      <c r="N262" s="575" t="s">
        <v>123</v>
      </c>
      <c r="O262" s="597">
        <v>1140.8498550724639</v>
      </c>
      <c r="P262" s="597">
        <v>1301.8436139898715</v>
      </c>
      <c r="Q262" s="597">
        <v>1134.052598456168</v>
      </c>
      <c r="R262" s="576">
        <v>0</v>
      </c>
      <c r="S262" s="597">
        <v>1417.3269307800258</v>
      </c>
      <c r="T262" s="597">
        <v>1707.0272372322136</v>
      </c>
      <c r="U262" s="597">
        <v>0</v>
      </c>
      <c r="V262" s="597">
        <v>0</v>
      </c>
      <c r="W262" s="597">
        <v>0</v>
      </c>
      <c r="X262" s="597">
        <v>0</v>
      </c>
      <c r="Y262" s="597">
        <v>0</v>
      </c>
      <c r="Z262" s="597">
        <v>0</v>
      </c>
      <c r="AA262" s="597">
        <v>0</v>
      </c>
      <c r="AB262" s="597">
        <v>0</v>
      </c>
      <c r="AC262" s="597">
        <v>0</v>
      </c>
      <c r="AD262" s="597">
        <v>1761.8346611957363</v>
      </c>
      <c r="AE262" s="597" t="e">
        <f>IF(AE255=0,0,AE252/AE255*AE263)</f>
        <v>#VALUE!</v>
      </c>
      <c r="AF262" s="597" t="e">
        <f>IF(AF255=0,0,AF252/AF255*AF263)</f>
        <v>#VALUE!</v>
      </c>
      <c r="AG262" s="597" t="e">
        <f t="shared" ref="AG262:AM262" si="59">IF(AG255=0,0,AG252/AG255*AG263)</f>
        <v>#VALUE!</v>
      </c>
      <c r="AH262" s="597">
        <f t="shared" si="59"/>
        <v>0</v>
      </c>
      <c r="AI262" s="597">
        <f t="shared" si="59"/>
        <v>0</v>
      </c>
      <c r="AJ262" s="597">
        <f t="shared" si="59"/>
        <v>0</v>
      </c>
      <c r="AK262" s="597">
        <f t="shared" si="59"/>
        <v>0</v>
      </c>
      <c r="AL262" s="597">
        <f t="shared" si="59"/>
        <v>0</v>
      </c>
      <c r="AM262" s="597">
        <f t="shared" si="59"/>
        <v>0</v>
      </c>
      <c r="AN262" s="546">
        <f>IF(S262=0,0,(AD262-S262)/S262*100)</f>
        <v>24.306864064602983</v>
      </c>
      <c r="AO262" s="546" t="e">
        <f>IF(AD262=0,0,(AE262-AD262)/AD262*100)</f>
        <v>#VALUE!</v>
      </c>
      <c r="AP262" s="546" t="e">
        <f>IF(AE262=0,0,(AF262-AE262)/AE262*100)</f>
        <v>#VALUE!</v>
      </c>
      <c r="AQ262" s="546" t="e">
        <f>IF(AF262=0,0,(AG262-AF262)/AF262*100)</f>
        <v>#VALUE!</v>
      </c>
      <c r="AR262" s="546" t="e">
        <f t="shared" ref="AR262:AW262" si="60">IF(AG262=0,0,(AH262-AG262)/AG262*100)</f>
        <v>#VALUE!</v>
      </c>
      <c r="AS262" s="546">
        <f t="shared" si="60"/>
        <v>0</v>
      </c>
      <c r="AT262" s="546">
        <f t="shared" si="60"/>
        <v>0</v>
      </c>
      <c r="AU262" s="546">
        <f t="shared" si="60"/>
        <v>0</v>
      </c>
      <c r="AV262" s="546">
        <f t="shared" si="60"/>
        <v>0</v>
      </c>
      <c r="AW262" s="546">
        <f t="shared" si="60"/>
        <v>0</v>
      </c>
      <c r="AX262" s="548"/>
      <c r="AY262" s="548"/>
      <c r="AZ262" s="548"/>
    </row>
    <row r="263" spans="1:52" s="572" customFormat="1" ht="11.25" outlineLevel="1" x14ac:dyDescent="0.25">
      <c r="A263" s="540" t="str">
        <f t="shared" si="44"/>
        <v>2</v>
      </c>
      <c r="B263" s="520" t="s">
        <v>930</v>
      </c>
      <c r="C263" s="520"/>
      <c r="D263" s="520" t="s">
        <v>931</v>
      </c>
      <c r="L263" s="573" t="s">
        <v>932</v>
      </c>
      <c r="M263" s="590" t="s">
        <v>933</v>
      </c>
      <c r="N263" s="575" t="s">
        <v>14</v>
      </c>
      <c r="O263" s="599">
        <v>18.2</v>
      </c>
      <c r="P263" s="599">
        <v>17.989000000000001</v>
      </c>
      <c r="Q263" s="599">
        <v>17.989000000000001</v>
      </c>
      <c r="R263" s="599">
        <v>0</v>
      </c>
      <c r="S263" s="599">
        <v>19.093299999999999</v>
      </c>
      <c r="T263" s="599">
        <v>19.093</v>
      </c>
      <c r="U263" s="599">
        <v>19.093299999999999</v>
      </c>
      <c r="V263" s="599">
        <v>19.093299999999999</v>
      </c>
      <c r="W263" s="599">
        <v>19.093299999999999</v>
      </c>
      <c r="X263" s="599">
        <v>0</v>
      </c>
      <c r="Y263" s="599">
        <v>0</v>
      </c>
      <c r="Z263" s="599">
        <v>0</v>
      </c>
      <c r="AA263" s="599">
        <v>0</v>
      </c>
      <c r="AB263" s="599">
        <v>0</v>
      </c>
      <c r="AC263" s="599">
        <v>0</v>
      </c>
      <c r="AD263" s="599">
        <v>19.093299999999999</v>
      </c>
      <c r="AE263" s="599">
        <f>SUMIFS([14]Баланс!AD$16:AD$95,[14]Баланс!$A$16:$A$95,$A263,[14]Баланс!$B$16:$B$95,"население")</f>
        <v>19.093299999999999</v>
      </c>
      <c r="AF263" s="599">
        <f>SUMIFS([14]Баланс!AE$16:AE$95,[14]Баланс!$A$16:$A$95,$A263,[14]Баланс!$B$16:$B$95,"население")</f>
        <v>19.093299999999999</v>
      </c>
      <c r="AG263" s="599">
        <f>SUMIFS([14]Баланс!AF$16:AF$95,[14]Баланс!$A$16:$A$95,$A263,[14]Баланс!$B$16:$B$95,"население")</f>
        <v>19.093299999999999</v>
      </c>
      <c r="AH263" s="599">
        <f>SUMIFS([14]Баланс!AG$16:AG$95,[14]Баланс!$A$16:$A$95,$A263,[14]Баланс!$B$16:$B$95,"население")</f>
        <v>0</v>
      </c>
      <c r="AI263" s="599">
        <f>SUMIFS([14]Баланс!AH$16:AH$95,[14]Баланс!$A$16:$A$95,$A263,[14]Баланс!$B$16:$B$95,"население")</f>
        <v>0</v>
      </c>
      <c r="AJ263" s="599">
        <f>SUMIFS([14]Баланс!AI$16:AI$95,[14]Баланс!$A$16:$A$95,$A263,[14]Баланс!$B$16:$B$95,"население")</f>
        <v>0</v>
      </c>
      <c r="AK263" s="599">
        <f>SUMIFS([14]Баланс!AJ$16:AJ$95,[14]Баланс!$A$16:$A$95,$A263,[14]Баланс!$B$16:$B$95,"население")</f>
        <v>0</v>
      </c>
      <c r="AL263" s="599">
        <f>SUMIFS([14]Баланс!AK$16:AK$95,[14]Баланс!$A$16:$A$95,$A263,[14]Баланс!$B$16:$B$95,"население")</f>
        <v>0</v>
      </c>
      <c r="AM263" s="599">
        <f>SUMIFS([14]Баланс!AL$16:AL$95,[14]Баланс!$A$16:$A$95,$A263,[14]Баланс!$B$16:$B$95,"население")</f>
        <v>0</v>
      </c>
      <c r="AN263" s="558"/>
      <c r="AO263" s="558"/>
      <c r="AP263" s="558"/>
      <c r="AQ263" s="558"/>
      <c r="AR263" s="558"/>
      <c r="AS263" s="558"/>
      <c r="AT263" s="558"/>
      <c r="AU263" s="558"/>
      <c r="AV263" s="558"/>
      <c r="AW263" s="558"/>
      <c r="AX263" s="548"/>
      <c r="AY263" s="548"/>
      <c r="AZ263" s="548"/>
    </row>
    <row r="264" spans="1:52" ht="15" outlineLevel="1" x14ac:dyDescent="0.25">
      <c r="A264" s="540" t="str">
        <f t="shared" si="44"/>
        <v>2</v>
      </c>
      <c r="B264" s="520" t="s">
        <v>934</v>
      </c>
      <c r="D264" s="520" t="s">
        <v>935</v>
      </c>
      <c r="L264" s="604" t="s">
        <v>936</v>
      </c>
      <c r="M264" s="594" t="s">
        <v>937</v>
      </c>
      <c r="N264" s="605" t="s">
        <v>14</v>
      </c>
      <c r="O264" s="600">
        <v>9.1</v>
      </c>
      <c r="P264" s="600">
        <v>8.9945000000000004</v>
      </c>
      <c r="Q264" s="600">
        <v>8.9945000000000004</v>
      </c>
      <c r="R264" s="555">
        <v>0</v>
      </c>
      <c r="S264" s="600">
        <v>9.5466499999999996</v>
      </c>
      <c r="T264" s="600">
        <v>9.5466499999999996</v>
      </c>
      <c r="U264" s="600">
        <v>9.5466499999999996</v>
      </c>
      <c r="V264" s="600">
        <v>9.5466499999999996</v>
      </c>
      <c r="W264" s="600">
        <v>9.5466499999999996</v>
      </c>
      <c r="X264" s="600">
        <v>0</v>
      </c>
      <c r="Y264" s="600">
        <v>0</v>
      </c>
      <c r="Z264" s="600">
        <v>0</v>
      </c>
      <c r="AA264" s="600">
        <v>0</v>
      </c>
      <c r="AB264" s="600">
        <v>0</v>
      </c>
      <c r="AC264" s="600">
        <v>0</v>
      </c>
      <c r="AD264" s="600">
        <v>9.5466499999999996</v>
      </c>
      <c r="AE264" s="600">
        <v>9.5466499999999996</v>
      </c>
      <c r="AF264" s="600">
        <v>9.5466499999999996</v>
      </c>
      <c r="AG264" s="600">
        <v>9.5466499999999996</v>
      </c>
      <c r="AH264" s="600">
        <f t="shared" ref="AH264:AM264" si="61">AH263/2</f>
        <v>0</v>
      </c>
      <c r="AI264" s="600">
        <f t="shared" si="61"/>
        <v>0</v>
      </c>
      <c r="AJ264" s="600">
        <f t="shared" si="61"/>
        <v>0</v>
      </c>
      <c r="AK264" s="600">
        <f t="shared" si="61"/>
        <v>0</v>
      </c>
      <c r="AL264" s="600">
        <f t="shared" si="61"/>
        <v>0</v>
      </c>
      <c r="AM264" s="600">
        <f t="shared" si="61"/>
        <v>0</v>
      </c>
      <c r="AN264" s="556"/>
      <c r="AO264" s="556"/>
      <c r="AP264" s="556"/>
      <c r="AQ264" s="556"/>
      <c r="AR264" s="556"/>
      <c r="AS264" s="556"/>
      <c r="AT264" s="556"/>
      <c r="AU264" s="556"/>
      <c r="AV264" s="556"/>
      <c r="AW264" s="556"/>
      <c r="AX264" s="548"/>
      <c r="AY264" s="548"/>
      <c r="AZ264" s="548"/>
    </row>
    <row r="265" spans="1:52" ht="15" outlineLevel="1" x14ac:dyDescent="0.25">
      <c r="A265" s="540" t="str">
        <f t="shared" si="44"/>
        <v>2</v>
      </c>
      <c r="B265" s="520" t="s">
        <v>938</v>
      </c>
      <c r="D265" s="520" t="s">
        <v>939</v>
      </c>
      <c r="L265" s="604" t="s">
        <v>940</v>
      </c>
      <c r="M265" s="594" t="s">
        <v>941</v>
      </c>
      <c r="N265" s="605" t="s">
        <v>912</v>
      </c>
      <c r="O265" s="601">
        <v>62.68</v>
      </c>
      <c r="P265" s="601">
        <v>72.37</v>
      </c>
      <c r="Q265" s="601">
        <v>63.04</v>
      </c>
      <c r="R265" s="562">
        <v>-9.3300000000000054</v>
      </c>
      <c r="S265" s="601">
        <v>62.68</v>
      </c>
      <c r="T265" s="601">
        <v>85.78</v>
      </c>
      <c r="U265" s="601">
        <v>191.93</v>
      </c>
      <c r="V265" s="601">
        <v>207.21</v>
      </c>
      <c r="W265" s="601">
        <v>207.83</v>
      </c>
      <c r="X265" s="601">
        <v>0</v>
      </c>
      <c r="Y265" s="601">
        <v>0</v>
      </c>
      <c r="Z265" s="601">
        <v>0</v>
      </c>
      <c r="AA265" s="601">
        <v>0</v>
      </c>
      <c r="AB265" s="601">
        <v>0</v>
      </c>
      <c r="AC265" s="601">
        <v>0</v>
      </c>
      <c r="AD265" s="601">
        <v>90.07</v>
      </c>
      <c r="AE265" s="601">
        <v>93.83</v>
      </c>
      <c r="AF265" s="601">
        <v>93.83</v>
      </c>
      <c r="AG265" s="601">
        <v>96.45</v>
      </c>
      <c r="AH265" s="601">
        <f t="shared" ref="AH265:AM265" si="62">IF(AH263=0,0,AH257*IF(plat_nds="да",1.2,1) )</f>
        <v>0</v>
      </c>
      <c r="AI265" s="601">
        <f t="shared" si="62"/>
        <v>0</v>
      </c>
      <c r="AJ265" s="601">
        <f t="shared" si="62"/>
        <v>0</v>
      </c>
      <c r="AK265" s="601">
        <f t="shared" si="62"/>
        <v>0</v>
      </c>
      <c r="AL265" s="601">
        <f t="shared" si="62"/>
        <v>0</v>
      </c>
      <c r="AM265" s="601">
        <f t="shared" si="62"/>
        <v>0</v>
      </c>
      <c r="AN265" s="556"/>
      <c r="AO265" s="556"/>
      <c r="AP265" s="556"/>
      <c r="AQ265" s="556"/>
      <c r="AR265" s="556"/>
      <c r="AS265" s="556"/>
      <c r="AT265" s="556"/>
      <c r="AU265" s="556"/>
      <c r="AV265" s="556"/>
      <c r="AW265" s="556"/>
      <c r="AX265" s="548"/>
      <c r="AY265" s="548"/>
      <c r="AZ265" s="548"/>
    </row>
    <row r="266" spans="1:52" ht="15" outlineLevel="1" x14ac:dyDescent="0.25">
      <c r="A266" s="540" t="str">
        <f t="shared" si="44"/>
        <v>2</v>
      </c>
      <c r="B266" s="520" t="s">
        <v>942</v>
      </c>
      <c r="D266" s="520" t="s">
        <v>943</v>
      </c>
      <c r="L266" s="604" t="s">
        <v>944</v>
      </c>
      <c r="M266" s="594" t="s">
        <v>945</v>
      </c>
      <c r="N266" s="605" t="s">
        <v>14</v>
      </c>
      <c r="O266" s="602">
        <v>9.1</v>
      </c>
      <c r="P266" s="602">
        <v>8.9945000000000004</v>
      </c>
      <c r="Q266" s="602">
        <v>8.9945000000000004</v>
      </c>
      <c r="R266" s="555">
        <v>0</v>
      </c>
      <c r="S266" s="602">
        <v>9.5466499999999996</v>
      </c>
      <c r="T266" s="602">
        <v>9.5463500000000003</v>
      </c>
      <c r="U266" s="602">
        <v>9.5466499999999996</v>
      </c>
      <c r="V266" s="602">
        <v>9.5466499999999996</v>
      </c>
      <c r="W266" s="602">
        <v>9.5466499999999996</v>
      </c>
      <c r="X266" s="602">
        <v>0</v>
      </c>
      <c r="Y266" s="602">
        <v>0</v>
      </c>
      <c r="Z266" s="602">
        <v>0</v>
      </c>
      <c r="AA266" s="602">
        <v>0</v>
      </c>
      <c r="AB266" s="602">
        <v>0</v>
      </c>
      <c r="AC266" s="602">
        <v>0</v>
      </c>
      <c r="AD266" s="602">
        <v>9.5466499999999996</v>
      </c>
      <c r="AE266" s="602">
        <f t="shared" ref="AE266:AM266" si="63">AE263-AE264</f>
        <v>9.5466499999999996</v>
      </c>
      <c r="AF266" s="602">
        <f t="shared" si="63"/>
        <v>9.5466499999999996</v>
      </c>
      <c r="AG266" s="602">
        <f t="shared" si="63"/>
        <v>9.5466499999999996</v>
      </c>
      <c r="AH266" s="602">
        <f t="shared" si="63"/>
        <v>0</v>
      </c>
      <c r="AI266" s="602">
        <f t="shared" si="63"/>
        <v>0</v>
      </c>
      <c r="AJ266" s="602">
        <f t="shared" si="63"/>
        <v>0</v>
      </c>
      <c r="AK266" s="602">
        <f t="shared" si="63"/>
        <v>0</v>
      </c>
      <c r="AL266" s="602">
        <f t="shared" si="63"/>
        <v>0</v>
      </c>
      <c r="AM266" s="602">
        <f t="shared" si="63"/>
        <v>0</v>
      </c>
      <c r="AN266" s="556"/>
      <c r="AO266" s="556"/>
      <c r="AP266" s="556"/>
      <c r="AQ266" s="556"/>
      <c r="AR266" s="556"/>
      <c r="AS266" s="556"/>
      <c r="AT266" s="556"/>
      <c r="AU266" s="556"/>
      <c r="AV266" s="556"/>
      <c r="AW266" s="556"/>
      <c r="AX266" s="548"/>
      <c r="AY266" s="548"/>
      <c r="AZ266" s="548"/>
    </row>
    <row r="267" spans="1:52" ht="15" outlineLevel="1" x14ac:dyDescent="0.25">
      <c r="A267" s="540" t="str">
        <f t="shared" si="44"/>
        <v>2</v>
      </c>
      <c r="B267" s="520" t="s">
        <v>946</v>
      </c>
      <c r="D267" s="520" t="s">
        <v>947</v>
      </c>
      <c r="L267" s="604" t="s">
        <v>948</v>
      </c>
      <c r="M267" s="594" t="s">
        <v>949</v>
      </c>
      <c r="N267" s="605" t="s">
        <v>912</v>
      </c>
      <c r="O267" s="601">
        <v>62.68</v>
      </c>
      <c r="P267" s="601">
        <v>72.37</v>
      </c>
      <c r="Q267" s="601">
        <v>63.04</v>
      </c>
      <c r="R267" s="562">
        <v>-9.3300000000000054</v>
      </c>
      <c r="S267" s="601">
        <v>85.78</v>
      </c>
      <c r="T267" s="601">
        <v>93.03</v>
      </c>
      <c r="U267" s="601"/>
      <c r="V267" s="601"/>
      <c r="W267" s="601"/>
      <c r="X267" s="601"/>
      <c r="Y267" s="601"/>
      <c r="Z267" s="601"/>
      <c r="AA267" s="601"/>
      <c r="AB267" s="601"/>
      <c r="AC267" s="601"/>
      <c r="AD267" s="601">
        <v>103.71</v>
      </c>
      <c r="AE267" s="601">
        <v>93.83</v>
      </c>
      <c r="AF267" s="601">
        <v>99.13</v>
      </c>
      <c r="AG267" s="601">
        <v>96.45</v>
      </c>
      <c r="AH267" s="601">
        <f t="shared" ref="AH267:AM267" si="64">IF(AH263=0,0,AH259*IF(plat_nds="да",1.2,1) )</f>
        <v>0</v>
      </c>
      <c r="AI267" s="601">
        <f t="shared" si="64"/>
        <v>0</v>
      </c>
      <c r="AJ267" s="601">
        <f t="shared" si="64"/>
        <v>0</v>
      </c>
      <c r="AK267" s="601">
        <f t="shared" si="64"/>
        <v>0</v>
      </c>
      <c r="AL267" s="601">
        <f t="shared" si="64"/>
        <v>0</v>
      </c>
      <c r="AM267" s="601">
        <f t="shared" si="64"/>
        <v>0</v>
      </c>
      <c r="AN267" s="556"/>
      <c r="AO267" s="556"/>
      <c r="AP267" s="556"/>
      <c r="AQ267" s="556"/>
      <c r="AR267" s="556"/>
      <c r="AS267" s="556"/>
      <c r="AT267" s="556"/>
      <c r="AU267" s="556"/>
      <c r="AV267" s="556"/>
      <c r="AW267" s="556"/>
      <c r="AX267" s="548"/>
      <c r="AY267" s="548"/>
      <c r="AZ267" s="548"/>
    </row>
    <row r="269" spans="1:52" ht="15" customHeight="1" x14ac:dyDescent="0.25">
      <c r="L269" s="609" t="s">
        <v>950</v>
      </c>
      <c r="M269" s="609"/>
      <c r="N269" s="609"/>
      <c r="O269" s="609"/>
      <c r="P269" s="609"/>
      <c r="Q269" s="609"/>
      <c r="R269" s="609"/>
      <c r="S269" s="609"/>
      <c r="T269" s="609"/>
      <c r="U269" s="609"/>
      <c r="V269" s="609"/>
      <c r="W269" s="609"/>
      <c r="X269" s="609"/>
      <c r="Y269" s="609"/>
      <c r="Z269" s="609"/>
      <c r="AA269" s="609"/>
      <c r="AB269" s="609"/>
      <c r="AC269" s="609"/>
      <c r="AD269" s="609"/>
      <c r="AE269" s="609"/>
      <c r="AF269" s="609"/>
      <c r="AG269" s="609"/>
      <c r="AH269" s="609"/>
      <c r="AI269" s="609"/>
      <c r="AJ269" s="609"/>
      <c r="AK269" s="609"/>
      <c r="AL269" s="609"/>
      <c r="AM269" s="609"/>
      <c r="AN269" s="609"/>
      <c r="AO269" s="609"/>
      <c r="AP269" s="609"/>
      <c r="AQ269" s="609"/>
      <c r="AR269" s="609"/>
      <c r="AS269" s="609"/>
      <c r="AT269" s="609"/>
      <c r="AU269" s="609"/>
      <c r="AV269" s="609"/>
      <c r="AW269" s="609"/>
      <c r="AX269" s="609"/>
      <c r="AY269" s="609"/>
      <c r="AZ269" s="609"/>
    </row>
    <row r="270" spans="1:52" ht="15" customHeight="1" x14ac:dyDescent="0.25">
      <c r="K270" s="606"/>
      <c r="L270" s="610"/>
      <c r="M270" s="611"/>
      <c r="N270" s="611"/>
      <c r="O270" s="611"/>
      <c r="P270" s="611"/>
      <c r="Q270" s="611"/>
      <c r="R270" s="611"/>
      <c r="S270" s="611"/>
      <c r="T270" s="611"/>
      <c r="U270" s="611"/>
      <c r="V270" s="611"/>
      <c r="W270" s="611"/>
      <c r="X270" s="611"/>
      <c r="Y270" s="611"/>
      <c r="Z270" s="611"/>
      <c r="AA270" s="611"/>
      <c r="AB270" s="611"/>
      <c r="AC270" s="611"/>
      <c r="AD270" s="611"/>
      <c r="AE270" s="611"/>
      <c r="AF270" s="611"/>
      <c r="AG270" s="611"/>
      <c r="AH270" s="611"/>
      <c r="AI270" s="611"/>
      <c r="AJ270" s="611"/>
      <c r="AK270" s="611"/>
      <c r="AL270" s="611"/>
      <c r="AM270" s="611"/>
      <c r="AN270" s="611"/>
      <c r="AO270" s="611"/>
      <c r="AP270" s="611"/>
      <c r="AQ270" s="611"/>
      <c r="AR270" s="611"/>
      <c r="AS270" s="611"/>
      <c r="AT270" s="611"/>
      <c r="AU270" s="611"/>
      <c r="AV270" s="611"/>
      <c r="AW270" s="611"/>
      <c r="AX270" s="611"/>
      <c r="AY270" s="611"/>
      <c r="AZ270" s="611"/>
    </row>
    <row r="271" spans="1:52" ht="15" customHeight="1" x14ac:dyDescent="0.25">
      <c r="L271" s="612" t="s">
        <v>951</v>
      </c>
      <c r="M271" s="613"/>
      <c r="N271" s="607"/>
      <c r="O271" s="607"/>
      <c r="P271" s="607"/>
      <c r="Q271" s="607"/>
      <c r="R271" s="607"/>
      <c r="S271" s="607"/>
      <c r="T271" s="607"/>
      <c r="U271" s="607"/>
      <c r="V271" s="607"/>
      <c r="W271" s="607"/>
      <c r="X271" s="607"/>
      <c r="Y271" s="607"/>
      <c r="Z271" s="607"/>
      <c r="AA271" s="607"/>
      <c r="AB271" s="607"/>
      <c r="AC271" s="607"/>
      <c r="AD271" s="607"/>
      <c r="AE271" s="607"/>
      <c r="AF271" s="607"/>
      <c r="AG271" s="607"/>
      <c r="AH271" s="607"/>
      <c r="AI271" s="607"/>
      <c r="AJ271" s="607"/>
      <c r="AK271" s="607"/>
      <c r="AL271" s="607"/>
      <c r="AM271" s="607"/>
      <c r="AN271" s="607"/>
      <c r="AO271" s="607"/>
      <c r="AP271" s="607"/>
      <c r="AQ271" s="607"/>
      <c r="AR271" s="607"/>
      <c r="AS271" s="607"/>
      <c r="AT271" s="607"/>
      <c r="AU271" s="607"/>
      <c r="AV271" s="607"/>
      <c r="AW271" s="607"/>
      <c r="AX271" s="607"/>
      <c r="AY271" s="607"/>
      <c r="AZ271" s="608"/>
    </row>
  </sheetData>
  <mergeCells count="10">
    <mergeCell ref="L269:AZ269"/>
    <mergeCell ref="L270:AZ270"/>
    <mergeCell ref="L271:M271"/>
    <mergeCell ref="L14:L15"/>
    <mergeCell ref="M14:M15"/>
    <mergeCell ref="N14:N15"/>
    <mergeCell ref="AX14:AX15"/>
    <mergeCell ref="AY14:AY15"/>
    <mergeCell ref="AZ14:AZ15"/>
    <mergeCell ref="AN15:AW15"/>
  </mergeCells>
  <dataValidations count="2">
    <dataValidation type="decimal" allowBlank="1" showErrorMessage="1" errorTitle="Ошибка" error="Допускается ввод только действительных чисел!" sqref="O108:Q123 S44:AM50 O87:Q87 S138:AM141 S98:AM100 O98:Q100 O90:Q90 O92:Q96 S92:AM96 S74:AM75 O74:Q75 T52:AM63 T37:AM41 S90:AM90 S87:AM87 AD64:AE64 S54:S63 O27:Q27 O29:Q35 O21:Q23 S21:AM23 O37:Q40 O25:Q25 T25:AM27 O54:Q63 O52:Q52 S130:AM135 O44:Q50 S52 O18:Q18 S18 S108:AM123 O127:Q128 S127:AM128 O130:Q135 T64 S29:AM35 S27 S37:S40 S25 O138:Q141 O234:Q249 S170:AM176 O213:Q213 S264:AM267 S224:AM226 O224:Q226 O216:Q216 O218:Q222 S218:AM222 S200:AM201 O200:Q201 T178:AM189 T163:AM167 S216:AM216 S213:AM213 AD190:AE190 O264:Q267 O153:Q153 O155:Q161 O147:Q149 S147:AM149 O163:Q166 O151:Q151 T151:AM153 O180:Q189 O178:Q178 S256:AM261 O170:Q176 S178 O144:Q144 S144 S234:AM249 O253:Q254 S253:AM254 O256:Q261 T190 S155:AM161 S153 S163:S166 S151 S180:S189" xr:uid="{593EAF3C-ABF4-4B19-A18C-33679DDE4927}">
      <formula1>-9.99999999999999E+23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sqref="AX17:AZ65 AX67:AZ141 AX143:AZ191 AX193:AZ267" xr:uid="{D49F62D1-38F8-40BE-8069-361AC7D5C317}">
      <formula1>900</formula1>
    </dataValidation>
  </dataValidations>
  <pageMargins left="0" right="0" top="0" bottom="0" header="0.31496062992125984" footer="0.31496062992125984"/>
  <pageSetup paperSize="9" scale="5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964519-005A-4CC9-B9EF-C2A3232B9C0A}">
  <sheetPr>
    <pageSetUpPr fitToPage="1"/>
  </sheetPr>
  <dimension ref="A1:AF243"/>
  <sheetViews>
    <sheetView topLeftCell="D7" zoomScale="60" zoomScaleNormal="60" workbookViewId="0">
      <pane xSplit="4" ySplit="8" topLeftCell="I123" activePane="bottomRight" state="frozen"/>
      <selection activeCell="D7" sqref="D7"/>
      <selection pane="topRight" activeCell="H7" sqref="H7"/>
      <selection pane="bottomLeft" activeCell="D15" sqref="D15"/>
      <selection pane="bottomRight" activeCell="P178" sqref="P178"/>
    </sheetView>
  </sheetViews>
  <sheetFormatPr defaultRowHeight="20.25" outlineLevelRow="4" outlineLevelCol="1" x14ac:dyDescent="0.3"/>
  <cols>
    <col min="1" max="3" width="0" style="4" hidden="1" customWidth="1"/>
    <col min="4" max="4" width="4.7109375" style="4" customWidth="1"/>
    <col min="5" max="5" width="8.7109375" style="5" customWidth="1"/>
    <col min="6" max="6" width="51.140625" style="6" customWidth="1"/>
    <col min="7" max="7" width="15.7109375" style="5" customWidth="1"/>
    <col min="8" max="8" width="25.140625" style="4" hidden="1" customWidth="1"/>
    <col min="9" max="11" width="22.7109375" style="4" customWidth="1"/>
    <col min="12" max="13" width="22.7109375" style="4" customWidth="1" outlineLevel="1"/>
    <col min="14" max="14" width="25.5703125" style="4" customWidth="1" outlineLevel="1"/>
    <col min="15" max="15" width="25.5703125" style="4" customWidth="1"/>
    <col min="16" max="16" width="22.7109375" style="4" customWidth="1"/>
    <col min="17" max="17" width="19.42578125" style="451" customWidth="1"/>
    <col min="18" max="19" width="19.85546875" style="4" customWidth="1" outlineLevel="1"/>
    <col min="20" max="20" width="21.7109375" style="4" customWidth="1"/>
    <col min="21" max="21" width="19.85546875" style="4" customWidth="1"/>
    <col min="22" max="22" width="33.5703125" style="4" customWidth="1"/>
    <col min="23" max="23" width="19.140625" style="4" customWidth="1"/>
    <col min="24" max="24" width="15.85546875" style="4" customWidth="1"/>
    <col min="25" max="25" width="15.42578125" style="4" customWidth="1"/>
    <col min="26" max="26" width="13" style="4" customWidth="1"/>
    <col min="27" max="27" width="12.140625" style="4" customWidth="1"/>
    <col min="28" max="28" width="9.28515625" style="4" bestFit="1" customWidth="1"/>
    <col min="29" max="29" width="12.140625" style="4" customWidth="1"/>
    <col min="30" max="30" width="16.42578125" style="4" bestFit="1" customWidth="1"/>
    <col min="31" max="31" width="11" style="4" customWidth="1"/>
    <col min="32" max="32" width="14" style="4" customWidth="1"/>
    <col min="33" max="16384" width="9.140625" style="4"/>
  </cols>
  <sheetData>
    <row r="1" spans="5:25" hidden="1" x14ac:dyDescent="0.3">
      <c r="E1" s="1"/>
      <c r="F1" s="2"/>
      <c r="G1" s="1"/>
      <c r="H1" s="3"/>
      <c r="I1" s="3"/>
      <c r="J1" s="3"/>
      <c r="K1" s="3"/>
      <c r="L1" s="3"/>
      <c r="M1" s="3"/>
      <c r="N1" s="3"/>
      <c r="O1" s="3"/>
      <c r="P1" s="3"/>
      <c r="Q1" s="450"/>
      <c r="R1" s="3"/>
      <c r="S1" s="3"/>
      <c r="T1" s="3"/>
      <c r="U1" s="3"/>
    </row>
    <row r="2" spans="5:25" hidden="1" x14ac:dyDescent="0.3">
      <c r="E2" s="1"/>
      <c r="F2" s="2"/>
      <c r="G2" s="1"/>
      <c r="H2" s="3"/>
      <c r="I2" s="3"/>
      <c r="J2" s="3"/>
      <c r="K2" s="3"/>
      <c r="L2" s="3"/>
      <c r="M2" s="3"/>
      <c r="N2" s="3"/>
      <c r="O2" s="3"/>
      <c r="P2" s="3"/>
      <c r="Q2" s="450"/>
      <c r="R2" s="3"/>
      <c r="S2" s="3"/>
      <c r="T2" s="3"/>
      <c r="U2" s="3"/>
    </row>
    <row r="3" spans="5:25" hidden="1" x14ac:dyDescent="0.3">
      <c r="E3" s="1"/>
      <c r="F3" s="2"/>
      <c r="G3" s="1"/>
      <c r="H3" s="3"/>
      <c r="I3" s="3"/>
      <c r="J3" s="3"/>
      <c r="K3" s="3"/>
      <c r="L3" s="3"/>
      <c r="M3" s="3"/>
      <c r="N3" s="3"/>
      <c r="O3" s="3"/>
      <c r="P3" s="3"/>
      <c r="Q3" s="450"/>
      <c r="R3" s="3"/>
      <c r="S3" s="3"/>
      <c r="T3" s="3"/>
      <c r="U3" s="3"/>
    </row>
    <row r="4" spans="5:25" hidden="1" x14ac:dyDescent="0.3">
      <c r="E4" s="1"/>
      <c r="F4" s="2"/>
      <c r="G4" s="1"/>
      <c r="H4" s="3"/>
      <c r="I4" s="3"/>
      <c r="J4" s="3"/>
      <c r="K4" s="3"/>
      <c r="L4" s="3"/>
      <c r="M4" s="3"/>
      <c r="N4" s="3"/>
      <c r="O4" s="3"/>
      <c r="P4" s="3"/>
      <c r="Q4" s="450"/>
      <c r="R4" s="3"/>
      <c r="S4" s="3"/>
      <c r="T4" s="3"/>
      <c r="U4" s="3"/>
    </row>
    <row r="5" spans="5:25" hidden="1" x14ac:dyDescent="0.3">
      <c r="E5" s="1"/>
      <c r="F5" s="2"/>
      <c r="G5" s="1"/>
      <c r="H5" s="3"/>
      <c r="I5" s="3"/>
      <c r="J5" s="3"/>
      <c r="K5" s="3"/>
      <c r="L5" s="3"/>
      <c r="M5" s="3"/>
      <c r="N5" s="3"/>
      <c r="O5" s="3"/>
      <c r="P5" s="3"/>
      <c r="Q5" s="450"/>
      <c r="R5" s="3"/>
      <c r="S5" s="3"/>
      <c r="T5" s="3"/>
      <c r="U5" s="3"/>
    </row>
    <row r="6" spans="5:25" hidden="1" x14ac:dyDescent="0.3">
      <c r="E6" s="1"/>
      <c r="F6" s="2"/>
      <c r="G6" s="1"/>
      <c r="H6" s="3"/>
      <c r="I6" s="3"/>
      <c r="J6" s="3"/>
      <c r="K6" s="3"/>
      <c r="L6" s="3"/>
      <c r="M6" s="3"/>
      <c r="N6" s="3"/>
      <c r="O6" s="3"/>
      <c r="P6" s="3"/>
      <c r="Q6" s="450"/>
      <c r="R6" s="3"/>
      <c r="S6" s="3"/>
      <c r="T6" s="3"/>
      <c r="U6" s="3"/>
    </row>
    <row r="7" spans="5:25" x14ac:dyDescent="0.3">
      <c r="G7" s="7" t="s">
        <v>0</v>
      </c>
      <c r="H7" s="8">
        <v>2021</v>
      </c>
      <c r="N7" s="9"/>
      <c r="O7" s="9"/>
    </row>
    <row r="8" spans="5:25" ht="20.25" customHeight="1" thickBot="1" x14ac:dyDescent="0.35">
      <c r="E8" s="1"/>
      <c r="F8" s="2"/>
      <c r="G8" s="1"/>
      <c r="H8" s="3"/>
      <c r="I8" s="3"/>
      <c r="J8" s="3"/>
      <c r="K8" s="3"/>
      <c r="L8" s="3"/>
      <c r="M8" s="3"/>
      <c r="N8" s="3"/>
      <c r="O8" s="3"/>
      <c r="P8" s="3"/>
      <c r="Q8" s="450"/>
      <c r="R8" s="3"/>
      <c r="S8" s="3"/>
      <c r="T8" s="3"/>
      <c r="U8" s="3"/>
      <c r="V8" s="431" t="s">
        <v>513</v>
      </c>
      <c r="W8" s="427" t="s">
        <v>165</v>
      </c>
      <c r="X8" s="432" t="s">
        <v>516</v>
      </c>
      <c r="Y8" s="433"/>
    </row>
    <row r="9" spans="5:25" s="10" customFormat="1" ht="27" customHeight="1" x14ac:dyDescent="0.3">
      <c r="E9" s="637" t="s">
        <v>531</v>
      </c>
      <c r="F9" s="638"/>
      <c r="G9" s="638"/>
      <c r="H9" s="638"/>
      <c r="I9" s="638"/>
      <c r="J9" s="638"/>
      <c r="K9" s="638"/>
      <c r="L9" s="638"/>
      <c r="M9" s="638"/>
      <c r="N9" s="638"/>
      <c r="O9" s="638"/>
      <c r="P9" s="638"/>
      <c r="Q9" s="638"/>
      <c r="R9" s="638"/>
      <c r="S9" s="638"/>
      <c r="T9" s="638"/>
      <c r="U9" s="639"/>
      <c r="V9" s="431" t="s">
        <v>514</v>
      </c>
      <c r="W9" s="427" t="s">
        <v>168</v>
      </c>
      <c r="X9" s="432" t="s">
        <v>517</v>
      </c>
      <c r="Y9" s="430"/>
    </row>
    <row r="10" spans="5:25" s="10" customFormat="1" ht="33.75" customHeight="1" thickBot="1" x14ac:dyDescent="0.3">
      <c r="E10" s="640" t="s">
        <v>532</v>
      </c>
      <c r="F10" s="641"/>
      <c r="G10" s="641"/>
      <c r="H10" s="641"/>
      <c r="I10" s="641"/>
      <c r="J10" s="641"/>
      <c r="K10" s="641"/>
      <c r="L10" s="641"/>
      <c r="M10" s="641"/>
      <c r="N10" s="641"/>
      <c r="O10" s="641"/>
      <c r="P10" s="641"/>
      <c r="Q10" s="641"/>
      <c r="R10" s="641"/>
      <c r="S10" s="641"/>
      <c r="T10" s="641"/>
      <c r="U10" s="642"/>
    </row>
    <row r="11" spans="5:25" s="10" customFormat="1" thickBot="1" x14ac:dyDescent="0.3">
      <c r="E11" s="11"/>
      <c r="F11" s="12"/>
      <c r="G11" s="11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</row>
    <row r="12" spans="5:25" s="15" customFormat="1" ht="52.5" customHeight="1" thickBot="1" x14ac:dyDescent="0.3">
      <c r="E12" s="643" t="s">
        <v>1</v>
      </c>
      <c r="F12" s="646" t="s">
        <v>2</v>
      </c>
      <c r="G12" s="643" t="s">
        <v>3</v>
      </c>
      <c r="H12" s="14" t="s">
        <v>4</v>
      </c>
      <c r="I12" s="623" t="str">
        <f>"Последний отчетный период регулирования - " &amp; year -2 &amp; " год"</f>
        <v>Последний отчетный период регулирования - 2023 год</v>
      </c>
      <c r="J12" s="649"/>
      <c r="K12" s="650"/>
      <c r="L12" s="658" t="s">
        <v>5</v>
      </c>
      <c r="M12" s="659"/>
      <c r="N12" s="659"/>
      <c r="O12" s="659"/>
      <c r="P12" s="660"/>
      <c r="Q12" s="651" t="str">
        <f>"С учетом корректировки на период регулирования - " &amp; year &amp; " год"</f>
        <v>С учетом корректировки на период регулирования - 2025 год</v>
      </c>
      <c r="R12" s="652"/>
      <c r="S12" s="652"/>
      <c r="T12" s="652"/>
      <c r="U12" s="653"/>
    </row>
    <row r="13" spans="5:25" s="15" customFormat="1" ht="29.25" customHeight="1" x14ac:dyDescent="0.25">
      <c r="E13" s="644"/>
      <c r="F13" s="647"/>
      <c r="G13" s="644"/>
      <c r="H13" s="654" t="str">
        <f>"План (установлено с 1 июля "&amp;H7&amp;" года)"</f>
        <v>План (установлено с 1 июля 2021 года)</v>
      </c>
      <c r="I13" s="633" t="s">
        <v>6</v>
      </c>
      <c r="J13" s="635" t="s">
        <v>7</v>
      </c>
      <c r="K13" s="631" t="s">
        <v>8</v>
      </c>
      <c r="L13" s="661" t="str">
        <f>"с 01.01." &amp; year-1 &amp; " по 30.06." &amp; year-1 &amp; ""</f>
        <v>с 01.01.2024 по 30.06.2024</v>
      </c>
      <c r="M13" s="663" t="str">
        <f>"с 01.07." &amp; year-1 &amp; " по 31.12." &amp; year-1 &amp; ""</f>
        <v>с 01.07.2024 по 31.12.2024</v>
      </c>
      <c r="N13" s="663" t="s">
        <v>511</v>
      </c>
      <c r="O13" s="665" t="str">
        <f>"исходя из роста тарифов с календарной разбивкой на " &amp; year-1 &amp; " год"</f>
        <v>исходя из роста тарифов с календарной разбивкой на 2024 год</v>
      </c>
      <c r="P13" s="656" t="str">
        <f>"исходя из роста тарифов с календарной разбивкой на " &amp; year &amp; " год"</f>
        <v>исходя из роста тарифов с календарной разбивкой на 2025 год</v>
      </c>
      <c r="Q13" s="623" t="s">
        <v>9</v>
      </c>
      <c r="R13" s="625" t="s">
        <v>10</v>
      </c>
      <c r="S13" s="626"/>
      <c r="T13" s="626"/>
      <c r="U13" s="627"/>
    </row>
    <row r="14" spans="5:25" s="15" customFormat="1" ht="108.75" thickBot="1" x14ac:dyDescent="0.3">
      <c r="E14" s="645"/>
      <c r="F14" s="648"/>
      <c r="G14" s="645"/>
      <c r="H14" s="655"/>
      <c r="I14" s="634"/>
      <c r="J14" s="636"/>
      <c r="K14" s="632"/>
      <c r="L14" s="662"/>
      <c r="M14" s="664"/>
      <c r="N14" s="664"/>
      <c r="O14" s="666"/>
      <c r="P14" s="657"/>
      <c r="Q14" s="624"/>
      <c r="R14" s="16" t="str">
        <f>"с 01.01." &amp; year &amp; " по 30.06." &amp; year &amp; ""</f>
        <v>с 01.01.2025 по 30.06.2025</v>
      </c>
      <c r="S14" s="16" t="str">
        <f>"с 01.07." &amp; year &amp; " по 31.12." &amp; year &amp; ""</f>
        <v>с 01.07.2025 по 31.12.2025</v>
      </c>
      <c r="T14" s="195" t="s">
        <v>302</v>
      </c>
      <c r="U14" s="17" t="str">
        <f>"исходя из роста тарифов с календарной разбивкой на " &amp; year &amp; " год"</f>
        <v>исходя из роста тарифов с календарной разбивкой на 2025 год</v>
      </c>
    </row>
    <row r="15" spans="5:25" s="10" customFormat="1" ht="22.5" customHeight="1" x14ac:dyDescent="0.25">
      <c r="E15" s="18">
        <v>1</v>
      </c>
      <c r="F15" s="19" t="s">
        <v>11</v>
      </c>
      <c r="G15" s="20"/>
      <c r="H15" s="21"/>
      <c r="I15" s="22"/>
      <c r="J15" s="23"/>
      <c r="K15" s="25"/>
      <c r="L15" s="22"/>
      <c r="M15" s="23"/>
      <c r="N15" s="23"/>
      <c r="O15" s="23"/>
      <c r="P15" s="24"/>
      <c r="Q15" s="468"/>
      <c r="R15" s="23"/>
      <c r="S15" s="23"/>
      <c r="T15" s="23"/>
      <c r="U15" s="24"/>
    </row>
    <row r="16" spans="5:25" s="10" customFormat="1" ht="30" x14ac:dyDescent="0.25">
      <c r="E16" s="26" t="s">
        <v>12</v>
      </c>
      <c r="F16" s="27" t="s">
        <v>13</v>
      </c>
      <c r="G16" s="28" t="s">
        <v>14</v>
      </c>
      <c r="H16" s="29"/>
      <c r="I16" s="32">
        <v>20.7</v>
      </c>
      <c r="J16" s="30">
        <v>20.3389697</v>
      </c>
      <c r="K16" s="31">
        <f t="shared" ref="K16:S16" si="0">SUM(K17:K20)</f>
        <v>20.3389697</v>
      </c>
      <c r="L16" s="32">
        <v>10.759904000000001</v>
      </c>
      <c r="M16" s="30">
        <v>10.759904000000001</v>
      </c>
      <c r="N16" s="30">
        <v>21.519808000000001</v>
      </c>
      <c r="O16" s="30">
        <v>21.519808000000001</v>
      </c>
      <c r="P16" s="33">
        <v>21.519808000000001</v>
      </c>
      <c r="Q16" s="469">
        <v>21.519808000000001</v>
      </c>
      <c r="R16" s="30">
        <f t="shared" si="0"/>
        <v>10.759904000000001</v>
      </c>
      <c r="S16" s="30">
        <f t="shared" si="0"/>
        <v>10.759904000000001</v>
      </c>
      <c r="T16" s="30">
        <f>SUM(T17:T20)</f>
        <v>21.519808000000001</v>
      </c>
      <c r="U16" s="33">
        <f>SUM(U17:U20)</f>
        <v>21.519808000000001</v>
      </c>
      <c r="V16" s="34"/>
    </row>
    <row r="17" spans="5:32" s="10" customFormat="1" ht="32.25" customHeight="1" x14ac:dyDescent="0.25">
      <c r="E17" s="457" t="s">
        <v>15</v>
      </c>
      <c r="F17" s="35" t="s">
        <v>16</v>
      </c>
      <c r="G17" s="36" t="s">
        <v>14</v>
      </c>
      <c r="H17" s="37"/>
      <c r="I17" s="41">
        <v>0</v>
      </c>
      <c r="J17" s="39">
        <v>0</v>
      </c>
      <c r="K17" s="40">
        <f>J17</f>
        <v>0</v>
      </c>
      <c r="L17" s="41">
        <v>0</v>
      </c>
      <c r="M17" s="39">
        <v>0</v>
      </c>
      <c r="N17" s="39">
        <v>0</v>
      </c>
      <c r="O17" s="39">
        <v>0</v>
      </c>
      <c r="P17" s="42">
        <v>0</v>
      </c>
      <c r="Q17" s="38">
        <v>0</v>
      </c>
      <c r="R17" s="43">
        <f t="shared" ref="R17" si="1">S17</f>
        <v>0</v>
      </c>
      <c r="S17" s="43">
        <f t="shared" ref="S17" si="2">T17/2</f>
        <v>0</v>
      </c>
      <c r="T17" s="43">
        <f>Q17</f>
        <v>0</v>
      </c>
      <c r="U17" s="44">
        <f>Q17</f>
        <v>0</v>
      </c>
    </row>
    <row r="18" spans="5:32" s="10" customFormat="1" ht="22.5" customHeight="1" x14ac:dyDescent="0.25">
      <c r="E18" s="457" t="s">
        <v>17</v>
      </c>
      <c r="F18" s="45" t="s">
        <v>18</v>
      </c>
      <c r="G18" s="36" t="s">
        <v>14</v>
      </c>
      <c r="H18" s="37"/>
      <c r="I18" s="41">
        <v>2.4</v>
      </c>
      <c r="J18" s="39">
        <v>2.1628600000000002</v>
      </c>
      <c r="K18" s="40">
        <f t="shared" ref="K18:K19" si="3">J18</f>
        <v>2.1628600000000002</v>
      </c>
      <c r="L18" s="41">
        <v>1.1491</v>
      </c>
      <c r="M18" s="39">
        <v>1.1491</v>
      </c>
      <c r="N18" s="39">
        <v>2.2982</v>
      </c>
      <c r="O18" s="39">
        <v>2.2982</v>
      </c>
      <c r="P18" s="42">
        <v>2.2982</v>
      </c>
      <c r="Q18" s="38">
        <v>2.2982</v>
      </c>
      <c r="R18" s="43">
        <f>S18</f>
        <v>1.1491</v>
      </c>
      <c r="S18" s="43">
        <f>T18/2</f>
        <v>1.1491</v>
      </c>
      <c r="T18" s="43">
        <f t="shared" ref="T18:T20" si="4">Q18</f>
        <v>2.2982</v>
      </c>
      <c r="U18" s="44">
        <f t="shared" ref="U18:U20" si="5">Q18</f>
        <v>2.2982</v>
      </c>
    </row>
    <row r="19" spans="5:32" s="10" customFormat="1" ht="22.5" customHeight="1" x14ac:dyDescent="0.25">
      <c r="E19" s="457" t="s">
        <v>19</v>
      </c>
      <c r="F19" s="35" t="s">
        <v>20</v>
      </c>
      <c r="G19" s="36" t="s">
        <v>14</v>
      </c>
      <c r="H19" s="37"/>
      <c r="I19" s="41">
        <v>0.1</v>
      </c>
      <c r="J19" s="39">
        <v>0.20238</v>
      </c>
      <c r="K19" s="40">
        <f t="shared" si="3"/>
        <v>0.20238</v>
      </c>
      <c r="L19" s="41">
        <v>6.4140000000000003E-2</v>
      </c>
      <c r="M19" s="39">
        <v>6.4140000000000003E-2</v>
      </c>
      <c r="N19" s="39">
        <v>0.12828000000000001</v>
      </c>
      <c r="O19" s="39">
        <v>0.12828000000000001</v>
      </c>
      <c r="P19" s="42">
        <v>0.12828000000000001</v>
      </c>
      <c r="Q19" s="38">
        <v>0.12828000000000001</v>
      </c>
      <c r="R19" s="43">
        <f t="shared" ref="R19:R20" si="6">S19</f>
        <v>6.4140000000000003E-2</v>
      </c>
      <c r="S19" s="43">
        <f t="shared" ref="S19:S20" si="7">T19/2</f>
        <v>6.4140000000000003E-2</v>
      </c>
      <c r="T19" s="43">
        <f t="shared" si="4"/>
        <v>0.12828000000000001</v>
      </c>
      <c r="U19" s="44">
        <f t="shared" si="5"/>
        <v>0.12828000000000001</v>
      </c>
    </row>
    <row r="20" spans="5:32" s="10" customFormat="1" ht="22.5" customHeight="1" x14ac:dyDescent="0.25">
      <c r="E20" s="457" t="s">
        <v>21</v>
      </c>
      <c r="F20" s="35" t="s">
        <v>22</v>
      </c>
      <c r="G20" s="36" t="s">
        <v>14</v>
      </c>
      <c r="H20" s="37"/>
      <c r="I20" s="41">
        <v>18.2</v>
      </c>
      <c r="J20" s="39">
        <v>17.9737297</v>
      </c>
      <c r="K20" s="40">
        <f>J20</f>
        <v>17.9737297</v>
      </c>
      <c r="L20" s="41">
        <v>9.5466639999999998</v>
      </c>
      <c r="M20" s="39">
        <v>9.5466639999999998</v>
      </c>
      <c r="N20" s="39">
        <v>19.093328</v>
      </c>
      <c r="O20" s="39">
        <v>19.093328</v>
      </c>
      <c r="P20" s="42">
        <v>19.093328</v>
      </c>
      <c r="Q20" s="38">
        <v>19.093328</v>
      </c>
      <c r="R20" s="43">
        <f t="shared" si="6"/>
        <v>9.5466639999999998</v>
      </c>
      <c r="S20" s="43">
        <f t="shared" si="7"/>
        <v>9.5466639999999998</v>
      </c>
      <c r="T20" s="43">
        <f t="shared" si="4"/>
        <v>19.093328</v>
      </c>
      <c r="U20" s="44">
        <f t="shared" si="5"/>
        <v>19.093328</v>
      </c>
    </row>
    <row r="21" spans="5:32" s="52" customFormat="1" ht="30" x14ac:dyDescent="0.25">
      <c r="E21" s="26" t="s">
        <v>23</v>
      </c>
      <c r="F21" s="46" t="s">
        <v>24</v>
      </c>
      <c r="G21" s="28" t="s">
        <v>14</v>
      </c>
      <c r="H21" s="47"/>
      <c r="I21" s="50">
        <v>12.7</v>
      </c>
      <c r="J21" s="48">
        <f>J16</f>
        <v>20.3389697</v>
      </c>
      <c r="K21" s="49">
        <f>K16</f>
        <v>20.3389697</v>
      </c>
      <c r="L21" s="50">
        <v>10.759904000000001</v>
      </c>
      <c r="M21" s="48">
        <v>10.759904000000001</v>
      </c>
      <c r="N21" s="48">
        <v>21.519808000000001</v>
      </c>
      <c r="O21" s="48">
        <v>21.519808000000001</v>
      </c>
      <c r="P21" s="51">
        <v>21.519808000000001</v>
      </c>
      <c r="Q21" s="470">
        <v>21.519808000000001</v>
      </c>
      <c r="R21" s="48">
        <f t="shared" ref="R21:T21" si="8">R22+R23</f>
        <v>10.759904000000001</v>
      </c>
      <c r="S21" s="48">
        <f t="shared" si="8"/>
        <v>10.759904000000001</v>
      </c>
      <c r="T21" s="48">
        <f t="shared" si="8"/>
        <v>21.519808000000001</v>
      </c>
      <c r="U21" s="51">
        <f>U22+U23</f>
        <v>21.519808000000001</v>
      </c>
    </row>
    <row r="22" spans="5:32" s="53" customFormat="1" ht="45.75" thickBot="1" x14ac:dyDescent="0.3">
      <c r="E22" s="457" t="s">
        <v>25</v>
      </c>
      <c r="F22" s="35" t="s">
        <v>26</v>
      </c>
      <c r="G22" s="36" t="s">
        <v>14</v>
      </c>
      <c r="H22" s="37"/>
      <c r="I22" s="41">
        <v>12.7</v>
      </c>
      <c r="J22" s="39">
        <v>0</v>
      </c>
      <c r="K22" s="40">
        <f>J22</f>
        <v>0</v>
      </c>
      <c r="L22" s="41">
        <v>10.759904000000001</v>
      </c>
      <c r="M22" s="39">
        <v>10.759904000000001</v>
      </c>
      <c r="N22" s="39">
        <v>21.519808000000001</v>
      </c>
      <c r="O22" s="39">
        <v>21.519808000000001</v>
      </c>
      <c r="P22" s="42">
        <v>21.519808000000001</v>
      </c>
      <c r="Q22" s="38">
        <v>21.519808000000001</v>
      </c>
      <c r="R22" s="43">
        <f t="shared" ref="R22:S23" si="9">$T22/2</f>
        <v>10.759904000000001</v>
      </c>
      <c r="S22" s="43">
        <f t="shared" si="9"/>
        <v>10.759904000000001</v>
      </c>
      <c r="T22" s="43">
        <f>Q22</f>
        <v>21.519808000000001</v>
      </c>
      <c r="U22" s="44">
        <f>Q22</f>
        <v>21.519808000000001</v>
      </c>
      <c r="V22" s="53">
        <f>O24*1.058*0.99</f>
        <v>1860.657479627562</v>
      </c>
    </row>
    <row r="23" spans="5:32" s="53" customFormat="1" thickBot="1" x14ac:dyDescent="0.3">
      <c r="E23" s="54" t="s">
        <v>27</v>
      </c>
      <c r="F23" s="55" t="s">
        <v>28</v>
      </c>
      <c r="G23" s="56" t="s">
        <v>14</v>
      </c>
      <c r="H23" s="57"/>
      <c r="I23" s="360">
        <v>0</v>
      </c>
      <c r="J23" s="361">
        <v>0</v>
      </c>
      <c r="K23" s="399">
        <v>0</v>
      </c>
      <c r="L23" s="360">
        <v>0</v>
      </c>
      <c r="M23" s="361">
        <v>0</v>
      </c>
      <c r="N23" s="361">
        <v>0</v>
      </c>
      <c r="O23" s="361">
        <v>0</v>
      </c>
      <c r="P23" s="362">
        <v>0</v>
      </c>
      <c r="Q23" s="58">
        <v>0</v>
      </c>
      <c r="R23" s="59">
        <f t="shared" si="9"/>
        <v>0</v>
      </c>
      <c r="S23" s="59">
        <f t="shared" si="9"/>
        <v>0</v>
      </c>
      <c r="T23" s="59">
        <v>0</v>
      </c>
      <c r="U23" s="60">
        <v>0</v>
      </c>
      <c r="V23" s="428" t="s">
        <v>515</v>
      </c>
      <c r="W23" s="628" t="s">
        <v>29</v>
      </c>
      <c r="X23" s="629"/>
    </row>
    <row r="24" spans="5:32" s="10" customFormat="1" ht="22.5" customHeight="1" collapsed="1" thickBot="1" x14ac:dyDescent="0.3">
      <c r="E24" s="61">
        <v>1</v>
      </c>
      <c r="F24" s="62" t="s">
        <v>30</v>
      </c>
      <c r="G24" s="63" t="s">
        <v>31</v>
      </c>
      <c r="H24" s="64"/>
      <c r="I24" s="402">
        <v>1262.5248965136184</v>
      </c>
      <c r="J24" s="364">
        <v>1435.68</v>
      </c>
      <c r="K24" s="365">
        <f>AD74</f>
        <v>1260.2264306941006</v>
      </c>
      <c r="L24" s="391">
        <v>863.68771183383876</v>
      </c>
      <c r="M24" s="364">
        <v>912.73194754593442</v>
      </c>
      <c r="N24" s="364">
        <v>1825.4638950918688</v>
      </c>
      <c r="O24" s="364">
        <v>1776.4196593797731</v>
      </c>
      <c r="P24" s="365">
        <v>1832.5189922229865</v>
      </c>
      <c r="Q24" s="64">
        <v>1851.03</v>
      </c>
      <c r="R24" s="65">
        <f>N24/2</f>
        <v>912.73194754593442</v>
      </c>
      <c r="S24" s="66">
        <f>T24/2</f>
        <v>947.92553208162758</v>
      </c>
      <c r="T24" s="66">
        <f>(U24-R24)*2</f>
        <v>1895.8510641632552</v>
      </c>
      <c r="U24" s="67">
        <f>IF(V24=V8,AF74*(1+U191),O24*(1+U184)*0.99)</f>
        <v>1860.657479627562</v>
      </c>
      <c r="V24" s="429" t="s">
        <v>514</v>
      </c>
      <c r="W24" s="426">
        <v>44013</v>
      </c>
      <c r="X24" s="68">
        <v>1010.0441518852672</v>
      </c>
      <c r="Y24" s="69">
        <v>1.0289999999999999</v>
      </c>
      <c r="Z24" s="69">
        <v>1.0449999999999999</v>
      </c>
      <c r="AA24" s="69">
        <v>1.034</v>
      </c>
      <c r="AB24" s="69">
        <v>1.0669999999999999</v>
      </c>
      <c r="AC24" s="69">
        <v>1.1379999999999999</v>
      </c>
      <c r="AD24" s="69">
        <v>1.0589999999999999</v>
      </c>
      <c r="AE24" s="69">
        <v>1.08</v>
      </c>
      <c r="AF24" s="69">
        <v>1.0580000000000001</v>
      </c>
    </row>
    <row r="25" spans="5:32" s="10" customFormat="1" ht="30" hidden="1" outlineLevel="1" x14ac:dyDescent="0.25">
      <c r="E25" s="458" t="s">
        <v>12</v>
      </c>
      <c r="F25" s="70" t="s">
        <v>32</v>
      </c>
      <c r="G25" s="71" t="s">
        <v>31</v>
      </c>
      <c r="H25" s="72"/>
      <c r="I25" s="41"/>
      <c r="J25" s="39"/>
      <c r="K25" s="42"/>
      <c r="L25" s="38"/>
      <c r="M25" s="39"/>
      <c r="N25" s="39"/>
      <c r="O25" s="39"/>
      <c r="P25" s="42"/>
      <c r="Q25" s="72"/>
      <c r="R25" s="74" t="e">
        <f>SUM(R26:R28)</f>
        <v>#REF!</v>
      </c>
      <c r="S25" s="75">
        <f>SUM(S26:S28)</f>
        <v>0</v>
      </c>
      <c r="T25" s="76">
        <f>SUM(T26:T28)</f>
        <v>0</v>
      </c>
      <c r="U25" s="44" t="e">
        <f>R25+S25</f>
        <v>#REF!</v>
      </c>
      <c r="Y25" s="69"/>
      <c r="Z25" s="69"/>
      <c r="AA25" s="69"/>
      <c r="AB25" s="69"/>
      <c r="AC25" s="69"/>
      <c r="AD25" s="69"/>
      <c r="AE25" s="69"/>
      <c r="AF25" s="69"/>
    </row>
    <row r="26" spans="5:32" s="10" customFormat="1" ht="22.5" hidden="1" customHeight="1" outlineLevel="2" x14ac:dyDescent="0.25">
      <c r="E26" s="458" t="s">
        <v>15</v>
      </c>
      <c r="F26" s="70" t="s">
        <v>33</v>
      </c>
      <c r="G26" s="71" t="s">
        <v>31</v>
      </c>
      <c r="H26" s="72"/>
      <c r="I26" s="41"/>
      <c r="J26" s="39"/>
      <c r="K26" s="42"/>
      <c r="L26" s="38"/>
      <c r="M26" s="39"/>
      <c r="N26" s="39"/>
      <c r="O26" s="39"/>
      <c r="P26" s="42"/>
      <c r="Q26" s="72"/>
      <c r="R26" s="74" t="e">
        <f>#REF!</f>
        <v>#REF!</v>
      </c>
      <c r="S26" s="75">
        <f>T26/IF(T$16=0,T$21,T$16)*IF(S$16=0,S$21,S$16)</f>
        <v>0</v>
      </c>
      <c r="T26" s="76">
        <f>H26*(1-$T$190)*(1-$N$190)*(1+$N$184)*(1+$N$191*$N$194)*(1+$T$184)*(1+$T$191*$T$194)</f>
        <v>0</v>
      </c>
      <c r="U26" s="44" t="e">
        <f>R26+S26</f>
        <v>#REF!</v>
      </c>
      <c r="Y26" s="69"/>
      <c r="Z26" s="69"/>
      <c r="AA26" s="69"/>
      <c r="AB26" s="69"/>
      <c r="AC26" s="69"/>
      <c r="AD26" s="69"/>
      <c r="AE26" s="69"/>
      <c r="AF26" s="69"/>
    </row>
    <row r="27" spans="5:32" s="10" customFormat="1" ht="22.5" hidden="1" customHeight="1" outlineLevel="2" x14ac:dyDescent="0.25">
      <c r="E27" s="458" t="s">
        <v>17</v>
      </c>
      <c r="F27" s="70" t="s">
        <v>34</v>
      </c>
      <c r="G27" s="71" t="s">
        <v>31</v>
      </c>
      <c r="H27" s="72"/>
      <c r="I27" s="41"/>
      <c r="J27" s="39"/>
      <c r="K27" s="42"/>
      <c r="L27" s="38"/>
      <c r="M27" s="39"/>
      <c r="N27" s="39"/>
      <c r="O27" s="39"/>
      <c r="P27" s="42"/>
      <c r="Q27" s="72"/>
      <c r="R27" s="74" t="e">
        <f>#REF!</f>
        <v>#REF!</v>
      </c>
      <c r="S27" s="75">
        <f>T27/IF(T$16=0,T$21,T$16)*IF(S$16=0,S$21,S$16)</f>
        <v>0</v>
      </c>
      <c r="T27" s="76">
        <f>H27*(1-$T$190)*(1-$N$190)*(1+$N$184)*(1+$N$191*$N$194)*(1+$T$184)*(1+$T$191*$T$194)</f>
        <v>0</v>
      </c>
      <c r="U27" s="44" t="e">
        <f>R27+S27</f>
        <v>#REF!</v>
      </c>
      <c r="Y27" s="69"/>
      <c r="Z27" s="69"/>
      <c r="AA27" s="69"/>
      <c r="AB27" s="69"/>
      <c r="AC27" s="69"/>
      <c r="AD27" s="69"/>
      <c r="AE27" s="69"/>
      <c r="AF27" s="69"/>
    </row>
    <row r="28" spans="5:32" s="10" customFormat="1" ht="19.5" hidden="1" outlineLevel="2" x14ac:dyDescent="0.25">
      <c r="E28" s="458" t="s">
        <v>19</v>
      </c>
      <c r="F28" s="70" t="s">
        <v>35</v>
      </c>
      <c r="G28" s="71" t="s">
        <v>31</v>
      </c>
      <c r="H28" s="72"/>
      <c r="I28" s="41"/>
      <c r="J28" s="39"/>
      <c r="K28" s="42"/>
      <c r="L28" s="38"/>
      <c r="M28" s="39"/>
      <c r="N28" s="39"/>
      <c r="O28" s="39"/>
      <c r="P28" s="42"/>
      <c r="Q28" s="72"/>
      <c r="R28" s="74" t="e">
        <f>#REF!</f>
        <v>#REF!</v>
      </c>
      <c r="S28" s="75">
        <f>T28/IF(T$16=0,T$21,T$16)*IF(S$16=0,S$21,S$16)</f>
        <v>0</v>
      </c>
      <c r="T28" s="76">
        <f>H28*(1-$T$190)*(1-$N$190)*(1+$N$184)*(1+$N$191*$N$194)*(1+$T$184)*(1+$T$191*$T$194)</f>
        <v>0</v>
      </c>
      <c r="U28" s="44" t="e">
        <f>R28+S28</f>
        <v>#REF!</v>
      </c>
      <c r="Y28" s="69"/>
      <c r="Z28" s="69"/>
      <c r="AA28" s="69"/>
      <c r="AB28" s="69"/>
      <c r="AC28" s="69"/>
      <c r="AD28" s="69"/>
      <c r="AE28" s="69"/>
      <c r="AF28" s="69"/>
    </row>
    <row r="29" spans="5:32" s="10" customFormat="1" ht="60" hidden="1" outlineLevel="1" x14ac:dyDescent="0.25">
      <c r="E29" s="458" t="s">
        <v>23</v>
      </c>
      <c r="F29" s="70" t="s">
        <v>36</v>
      </c>
      <c r="G29" s="71" t="s">
        <v>31</v>
      </c>
      <c r="H29" s="72"/>
      <c r="I29" s="41"/>
      <c r="J29" s="39"/>
      <c r="K29" s="42"/>
      <c r="L29" s="38"/>
      <c r="M29" s="39"/>
      <c r="N29" s="39"/>
      <c r="O29" s="39"/>
      <c r="P29" s="42"/>
      <c r="Q29" s="72"/>
      <c r="R29" s="74" t="e">
        <f>#REF!</f>
        <v>#REF!</v>
      </c>
      <c r="S29" s="75">
        <f>T29/IF(T$16=0,T$21,T$16)*IF(S$16=0,S$21,S$16)</f>
        <v>0</v>
      </c>
      <c r="T29" s="76">
        <f>H29*(1-$T$190)*(1-$N$190)*(1+$N$184)*(1+$N$191*$N$194)*(1+$T$184)*(1+$T$191*$T$194)</f>
        <v>0</v>
      </c>
      <c r="U29" s="44" t="e">
        <f>R29+S29</f>
        <v>#REF!</v>
      </c>
      <c r="Y29" s="69"/>
      <c r="Z29" s="69"/>
      <c r="AA29" s="69"/>
      <c r="AB29" s="69"/>
      <c r="AC29" s="69"/>
      <c r="AD29" s="69"/>
      <c r="AE29" s="69"/>
      <c r="AF29" s="69"/>
    </row>
    <row r="30" spans="5:32" s="10" customFormat="1" ht="45" hidden="1" outlineLevel="1" x14ac:dyDescent="0.25">
      <c r="E30" s="458" t="s">
        <v>37</v>
      </c>
      <c r="F30" s="70" t="s">
        <v>38</v>
      </c>
      <c r="G30" s="71" t="s">
        <v>31</v>
      </c>
      <c r="H30" s="77"/>
      <c r="I30" s="74"/>
      <c r="J30" s="76"/>
      <c r="K30" s="78"/>
      <c r="L30" s="392"/>
      <c r="M30" s="76"/>
      <c r="N30" s="76"/>
      <c r="O30" s="76"/>
      <c r="P30" s="78"/>
      <c r="Q30" s="77"/>
      <c r="R30" s="74" t="e">
        <f t="shared" ref="R30:T30" si="10">R31+R35+R36+R40</f>
        <v>#REF!</v>
      </c>
      <c r="S30" s="75">
        <f t="shared" si="10"/>
        <v>0</v>
      </c>
      <c r="T30" s="76">
        <f t="shared" si="10"/>
        <v>0</v>
      </c>
      <c r="U30" s="80" t="e">
        <f>U31++U36+U35+U40</f>
        <v>#REF!</v>
      </c>
      <c r="Y30" s="69"/>
      <c r="Z30" s="69"/>
      <c r="AA30" s="69"/>
      <c r="AB30" s="69"/>
      <c r="AC30" s="69"/>
      <c r="AD30" s="69"/>
      <c r="AE30" s="69"/>
      <c r="AF30" s="69"/>
    </row>
    <row r="31" spans="5:32" s="10" customFormat="1" ht="30" hidden="1" outlineLevel="2" x14ac:dyDescent="0.25">
      <c r="E31" s="458" t="s">
        <v>39</v>
      </c>
      <c r="F31" s="70" t="s">
        <v>40</v>
      </c>
      <c r="G31" s="71" t="s">
        <v>31</v>
      </c>
      <c r="H31" s="77"/>
      <c r="I31" s="74"/>
      <c r="J31" s="76"/>
      <c r="K31" s="78"/>
      <c r="L31" s="392"/>
      <c r="M31" s="76"/>
      <c r="N31" s="76"/>
      <c r="O31" s="76"/>
      <c r="P31" s="78"/>
      <c r="Q31" s="77"/>
      <c r="R31" s="74" t="e">
        <f>#REF!</f>
        <v>#REF!</v>
      </c>
      <c r="S31" s="75">
        <f>T31/IF(T$16=0,T$21,T$16)*IF(S$16=0,S$21,S$16)</f>
        <v>0</v>
      </c>
      <c r="T31" s="76">
        <f>T32*T33*12/1000</f>
        <v>0</v>
      </c>
      <c r="U31" s="44" t="e">
        <f>R31+S31</f>
        <v>#REF!</v>
      </c>
      <c r="Y31" s="69"/>
      <c r="Z31" s="69"/>
      <c r="AA31" s="69"/>
      <c r="AB31" s="69"/>
      <c r="AC31" s="69"/>
      <c r="AD31" s="69"/>
      <c r="AE31" s="69"/>
      <c r="AF31" s="69"/>
    </row>
    <row r="32" spans="5:32" s="10" customFormat="1" ht="19.5" hidden="1" outlineLevel="2" x14ac:dyDescent="0.25">
      <c r="E32" s="458"/>
      <c r="F32" s="81" t="s">
        <v>41</v>
      </c>
      <c r="G32" s="82" t="s">
        <v>42</v>
      </c>
      <c r="H32" s="77"/>
      <c r="I32" s="74"/>
      <c r="J32" s="76"/>
      <c r="K32" s="78"/>
      <c r="L32" s="392"/>
      <c r="M32" s="76"/>
      <c r="N32" s="76"/>
      <c r="O32" s="76"/>
      <c r="P32" s="78"/>
      <c r="Q32" s="77"/>
      <c r="R32" s="74"/>
      <c r="S32" s="75"/>
      <c r="T32" s="76">
        <f>N32</f>
        <v>0</v>
      </c>
      <c r="U32" s="80"/>
      <c r="Y32" s="69"/>
      <c r="Z32" s="69"/>
      <c r="AA32" s="69"/>
      <c r="AB32" s="69"/>
      <c r="AC32" s="69"/>
      <c r="AD32" s="69"/>
      <c r="AE32" s="69"/>
      <c r="AF32" s="69"/>
    </row>
    <row r="33" spans="5:32" s="10" customFormat="1" ht="30" hidden="1" outlineLevel="2" x14ac:dyDescent="0.25">
      <c r="E33" s="458"/>
      <c r="F33" s="81" t="s">
        <v>43</v>
      </c>
      <c r="G33" s="82" t="s">
        <v>44</v>
      </c>
      <c r="H33" s="77"/>
      <c r="I33" s="74"/>
      <c r="J33" s="76"/>
      <c r="K33" s="78"/>
      <c r="L33" s="392"/>
      <c r="M33" s="76"/>
      <c r="N33" s="76"/>
      <c r="O33" s="76"/>
      <c r="P33" s="78"/>
      <c r="Q33" s="77"/>
      <c r="R33" s="74"/>
      <c r="S33" s="75"/>
      <c r="T33" s="76">
        <f>H33*(1-$T$190)*(1-$N$190)*(1+$N$184)*(1+$N$191*$N$194)*(1+$T$184)*(1+$T$191*$T$194)</f>
        <v>0</v>
      </c>
      <c r="U33" s="80"/>
      <c r="Y33" s="69"/>
      <c r="Z33" s="69"/>
      <c r="AA33" s="69"/>
      <c r="AB33" s="69"/>
      <c r="AC33" s="69"/>
      <c r="AD33" s="69"/>
      <c r="AE33" s="69"/>
      <c r="AF33" s="69"/>
    </row>
    <row r="34" spans="5:32" s="10" customFormat="1" ht="22.5" hidden="1" customHeight="1" outlineLevel="2" x14ac:dyDescent="0.25">
      <c r="E34" s="630"/>
      <c r="F34" s="618" t="s">
        <v>45</v>
      </c>
      <c r="G34" s="71" t="s">
        <v>46</v>
      </c>
      <c r="H34" s="83"/>
      <c r="I34" s="84"/>
      <c r="J34" s="85"/>
      <c r="K34" s="86"/>
      <c r="L34" s="393"/>
      <c r="M34" s="85"/>
      <c r="N34" s="85"/>
      <c r="O34" s="85"/>
      <c r="P34" s="86"/>
      <c r="Q34" s="83"/>
      <c r="R34" s="87"/>
      <c r="S34" s="88"/>
      <c r="T34" s="85">
        <f>P34</f>
        <v>0</v>
      </c>
      <c r="U34" s="80"/>
      <c r="Y34" s="69"/>
      <c r="Z34" s="69"/>
      <c r="AA34" s="69"/>
      <c r="AB34" s="69"/>
      <c r="AC34" s="69"/>
      <c r="AD34" s="69"/>
      <c r="AE34" s="69"/>
      <c r="AF34" s="69"/>
    </row>
    <row r="35" spans="5:32" s="10" customFormat="1" ht="22.5" hidden="1" customHeight="1" outlineLevel="2" x14ac:dyDescent="0.25">
      <c r="E35" s="630"/>
      <c r="F35" s="618"/>
      <c r="G35" s="71" t="s">
        <v>31</v>
      </c>
      <c r="H35" s="89"/>
      <c r="I35" s="90"/>
      <c r="J35" s="91"/>
      <c r="K35" s="92"/>
      <c r="L35" s="394"/>
      <c r="M35" s="91"/>
      <c r="N35" s="91"/>
      <c r="O35" s="91"/>
      <c r="P35" s="92"/>
      <c r="Q35" s="89"/>
      <c r="R35" s="74" t="e">
        <f>#REF!</f>
        <v>#REF!</v>
      </c>
      <c r="S35" s="75">
        <f>T35/IF(T$16=0,T$21,T$16)*IF(S$16=0,S$21,S$16)</f>
        <v>0</v>
      </c>
      <c r="T35" s="76">
        <f>H35*(1-$T$190)*(1-$N$190)*(1+$N$184)*(1+$N$191*$N$194)*(1+$T$184)*(1+$T$191*$T$194)</f>
        <v>0</v>
      </c>
      <c r="U35" s="44" t="e">
        <f>R35+S35</f>
        <v>#REF!</v>
      </c>
      <c r="Y35" s="69"/>
      <c r="Z35" s="69"/>
      <c r="AA35" s="69"/>
      <c r="AB35" s="69"/>
      <c r="AC35" s="69"/>
      <c r="AD35" s="69"/>
      <c r="AE35" s="69"/>
      <c r="AF35" s="69"/>
    </row>
    <row r="36" spans="5:32" s="10" customFormat="1" ht="19.5" hidden="1" outlineLevel="2" x14ac:dyDescent="0.25">
      <c r="E36" s="458" t="s">
        <v>47</v>
      </c>
      <c r="F36" s="70" t="s">
        <v>48</v>
      </c>
      <c r="G36" s="71" t="s">
        <v>31</v>
      </c>
      <c r="H36" s="77"/>
      <c r="I36" s="74"/>
      <c r="J36" s="76"/>
      <c r="K36" s="78"/>
      <c r="L36" s="392"/>
      <c r="M36" s="76"/>
      <c r="N36" s="76"/>
      <c r="O36" s="76"/>
      <c r="P36" s="78"/>
      <c r="Q36" s="77"/>
      <c r="R36" s="74" t="e">
        <f>#REF!</f>
        <v>#REF!</v>
      </c>
      <c r="S36" s="75">
        <f>T36/IF(T$16=0,T$21,T$16)*IF(S$16=0,S$21,S$16)</f>
        <v>0</v>
      </c>
      <c r="T36" s="76">
        <f>T37*T38*12/1000</f>
        <v>0</v>
      </c>
      <c r="U36" s="44" t="e">
        <f>R36+S36</f>
        <v>#REF!</v>
      </c>
      <c r="Y36" s="69"/>
      <c r="Z36" s="69"/>
      <c r="AA36" s="69"/>
      <c r="AB36" s="69"/>
      <c r="AC36" s="69"/>
      <c r="AD36" s="69"/>
      <c r="AE36" s="69"/>
      <c r="AF36" s="69"/>
    </row>
    <row r="37" spans="5:32" s="10" customFormat="1" ht="22.5" hidden="1" customHeight="1" outlineLevel="2" x14ac:dyDescent="0.25">
      <c r="E37" s="458"/>
      <c r="F37" s="81" t="s">
        <v>49</v>
      </c>
      <c r="G37" s="82" t="s">
        <v>42</v>
      </c>
      <c r="H37" s="77"/>
      <c r="I37" s="74"/>
      <c r="J37" s="76"/>
      <c r="K37" s="78"/>
      <c r="L37" s="392"/>
      <c r="M37" s="76"/>
      <c r="N37" s="76"/>
      <c r="O37" s="76"/>
      <c r="P37" s="78"/>
      <c r="Q37" s="77"/>
      <c r="R37" s="74"/>
      <c r="S37" s="75"/>
      <c r="T37" s="76">
        <f>N37</f>
        <v>0</v>
      </c>
      <c r="U37" s="80"/>
      <c r="Y37" s="69"/>
      <c r="Z37" s="69"/>
      <c r="AA37" s="69"/>
      <c r="AB37" s="69"/>
      <c r="AC37" s="69"/>
      <c r="AD37" s="69"/>
      <c r="AE37" s="69"/>
      <c r="AF37" s="69"/>
    </row>
    <row r="38" spans="5:32" s="10" customFormat="1" ht="30" hidden="1" outlineLevel="2" x14ac:dyDescent="0.25">
      <c r="E38" s="458"/>
      <c r="F38" s="81" t="s">
        <v>50</v>
      </c>
      <c r="G38" s="82" t="s">
        <v>44</v>
      </c>
      <c r="H38" s="77"/>
      <c r="I38" s="74"/>
      <c r="J38" s="76"/>
      <c r="K38" s="78"/>
      <c r="L38" s="392"/>
      <c r="M38" s="76"/>
      <c r="N38" s="76"/>
      <c r="O38" s="76"/>
      <c r="P38" s="78"/>
      <c r="Q38" s="77"/>
      <c r="R38" s="74"/>
      <c r="S38" s="75"/>
      <c r="T38" s="76">
        <f>H38*(1-$T$190)*(1-$N$190)*(1+$N$184)*(1+$N$191*$N$194)*(1+$T$184)*(1+$T$191*$T$194)</f>
        <v>0</v>
      </c>
      <c r="U38" s="80"/>
      <c r="Y38" s="69"/>
      <c r="Z38" s="69"/>
      <c r="AA38" s="69"/>
      <c r="AB38" s="69"/>
      <c r="AC38" s="69"/>
      <c r="AD38" s="69"/>
      <c r="AE38" s="69"/>
      <c r="AF38" s="69"/>
    </row>
    <row r="39" spans="5:32" s="10" customFormat="1" ht="22.5" hidden="1" customHeight="1" outlineLevel="2" x14ac:dyDescent="0.25">
      <c r="E39" s="630"/>
      <c r="F39" s="618" t="s">
        <v>51</v>
      </c>
      <c r="G39" s="71" t="s">
        <v>46</v>
      </c>
      <c r="H39" s="83"/>
      <c r="I39" s="84"/>
      <c r="J39" s="85"/>
      <c r="K39" s="86"/>
      <c r="L39" s="393"/>
      <c r="M39" s="85"/>
      <c r="N39" s="85"/>
      <c r="O39" s="85"/>
      <c r="P39" s="86"/>
      <c r="Q39" s="83"/>
      <c r="R39" s="87"/>
      <c r="S39" s="88"/>
      <c r="T39" s="85">
        <f>P39</f>
        <v>0</v>
      </c>
      <c r="U39" s="80"/>
      <c r="Y39" s="69"/>
      <c r="Z39" s="69"/>
      <c r="AA39" s="69"/>
      <c r="AB39" s="69"/>
      <c r="AC39" s="69"/>
      <c r="AD39" s="69"/>
      <c r="AE39" s="69"/>
      <c r="AF39" s="69"/>
    </row>
    <row r="40" spans="5:32" s="10" customFormat="1" ht="22.5" hidden="1" customHeight="1" outlineLevel="2" x14ac:dyDescent="0.25">
      <c r="E40" s="630"/>
      <c r="F40" s="618"/>
      <c r="G40" s="71" t="s">
        <v>31</v>
      </c>
      <c r="H40" s="89"/>
      <c r="I40" s="90"/>
      <c r="J40" s="91"/>
      <c r="K40" s="92"/>
      <c r="L40" s="394"/>
      <c r="M40" s="91"/>
      <c r="N40" s="91"/>
      <c r="O40" s="91"/>
      <c r="P40" s="92"/>
      <c r="Q40" s="89"/>
      <c r="R40" s="74" t="e">
        <f>#REF!</f>
        <v>#REF!</v>
      </c>
      <c r="S40" s="75">
        <f>T40/IF(T$16=0,T$21,T$16)*IF(S$16=0,S$21,S$16)</f>
        <v>0</v>
      </c>
      <c r="T40" s="76">
        <f>H40*(1-$T$190)*(1-$N$190)*(1+$N$184)*(1+$N$191*$N$194)*(1+$T$184)*(1+$T$191*$T$194)</f>
        <v>0</v>
      </c>
      <c r="U40" s="44" t="e">
        <f>R40+S40</f>
        <v>#REF!</v>
      </c>
      <c r="Y40" s="69"/>
      <c r="Z40" s="69"/>
      <c r="AA40" s="69"/>
      <c r="AB40" s="69"/>
      <c r="AC40" s="69"/>
      <c r="AD40" s="69"/>
      <c r="AE40" s="69"/>
      <c r="AF40" s="69"/>
    </row>
    <row r="41" spans="5:32" s="10" customFormat="1" ht="30" hidden="1" outlineLevel="1" x14ac:dyDescent="0.25">
      <c r="E41" s="458" t="s">
        <v>52</v>
      </c>
      <c r="F41" s="70" t="s">
        <v>53</v>
      </c>
      <c r="G41" s="71" t="s">
        <v>31</v>
      </c>
      <c r="H41" s="72"/>
      <c r="I41" s="41"/>
      <c r="J41" s="39"/>
      <c r="K41" s="42"/>
      <c r="L41" s="38"/>
      <c r="M41" s="39"/>
      <c r="N41" s="39"/>
      <c r="O41" s="39"/>
      <c r="P41" s="42"/>
      <c r="Q41" s="72"/>
      <c r="R41" s="74" t="e">
        <f>#REF!</f>
        <v>#REF!</v>
      </c>
      <c r="S41" s="75">
        <f>T41/IF(T$16=0,T$21,T$16)*IF(S$16=0,S$21,S$16)</f>
        <v>0</v>
      </c>
      <c r="T41" s="76">
        <f>H41*(1-$T$190)*(1-$N$190)*(1+$N$184)*(1+$N$191*$N$194)*(1+$T$184)*(1+$T$191*$T$194)</f>
        <v>0</v>
      </c>
      <c r="U41" s="44" t="e">
        <f t="shared" ref="U41:U48" si="11">R41+S41</f>
        <v>#REF!</v>
      </c>
      <c r="Y41" s="69"/>
      <c r="Z41" s="69"/>
      <c r="AA41" s="69"/>
      <c r="AB41" s="69"/>
      <c r="AC41" s="69"/>
      <c r="AD41" s="69"/>
      <c r="AE41" s="69"/>
      <c r="AF41" s="69"/>
    </row>
    <row r="42" spans="5:32" s="10" customFormat="1" ht="22.5" hidden="1" customHeight="1" outlineLevel="1" x14ac:dyDescent="0.25">
      <c r="E42" s="458" t="s">
        <v>54</v>
      </c>
      <c r="F42" s="70" t="s">
        <v>55</v>
      </c>
      <c r="G42" s="71" t="s">
        <v>31</v>
      </c>
      <c r="H42" s="72"/>
      <c r="I42" s="41"/>
      <c r="J42" s="39"/>
      <c r="K42" s="42"/>
      <c r="L42" s="38"/>
      <c r="M42" s="39"/>
      <c r="N42" s="39"/>
      <c r="O42" s="39"/>
      <c r="P42" s="42"/>
      <c r="Q42" s="72"/>
      <c r="R42" s="74" t="e">
        <f>#REF!</f>
        <v>#REF!</v>
      </c>
      <c r="S42" s="75">
        <f>T42/IF(T$16=0,T$21,T$16)*IF(S$16=0,S$21,S$16)</f>
        <v>0</v>
      </c>
      <c r="T42" s="76">
        <f>H42*(1-$T$190)*(1-$N$190)*(1+$N$184)*(1+$N$191*$N$194)*(1+$T$184)*(1+$T$191*$T$194)</f>
        <v>0</v>
      </c>
      <c r="U42" s="44" t="e">
        <f t="shared" si="11"/>
        <v>#REF!</v>
      </c>
      <c r="Y42" s="69"/>
      <c r="Z42" s="69"/>
      <c r="AA42" s="69"/>
      <c r="AB42" s="69"/>
      <c r="AC42" s="69"/>
      <c r="AD42" s="69"/>
      <c r="AE42" s="69"/>
      <c r="AF42" s="69"/>
    </row>
    <row r="43" spans="5:32" s="10" customFormat="1" ht="22.5" hidden="1" customHeight="1" outlineLevel="1" x14ac:dyDescent="0.25">
      <c r="E43" s="458" t="s">
        <v>56</v>
      </c>
      <c r="F43" s="70" t="s">
        <v>57</v>
      </c>
      <c r="G43" s="71" t="s">
        <v>31</v>
      </c>
      <c r="H43" s="77"/>
      <c r="I43" s="74"/>
      <c r="J43" s="76"/>
      <c r="K43" s="78"/>
      <c r="L43" s="392"/>
      <c r="M43" s="76"/>
      <c r="N43" s="76"/>
      <c r="O43" s="76"/>
      <c r="P43" s="78"/>
      <c r="Q43" s="77"/>
      <c r="R43" s="74" t="e">
        <f>SUM(R44:R48)</f>
        <v>#REF!</v>
      </c>
      <c r="S43" s="75">
        <f>SUM(S44:S48)</f>
        <v>0</v>
      </c>
      <c r="T43" s="76">
        <f>SUM(T44:T48)</f>
        <v>0</v>
      </c>
      <c r="U43" s="44" t="e">
        <f t="shared" si="11"/>
        <v>#REF!</v>
      </c>
      <c r="Y43" s="69"/>
      <c r="Z43" s="69"/>
      <c r="AA43" s="69"/>
      <c r="AB43" s="69"/>
      <c r="AC43" s="69"/>
      <c r="AD43" s="69"/>
      <c r="AE43" s="69"/>
      <c r="AF43" s="69"/>
    </row>
    <row r="44" spans="5:32" s="10" customFormat="1" ht="19.5" hidden="1" outlineLevel="2" x14ac:dyDescent="0.25">
      <c r="E44" s="457" t="s">
        <v>58</v>
      </c>
      <c r="F44" s="70" t="s">
        <v>59</v>
      </c>
      <c r="G44" s="71" t="s">
        <v>31</v>
      </c>
      <c r="H44" s="77"/>
      <c r="I44" s="74"/>
      <c r="J44" s="76"/>
      <c r="K44" s="78"/>
      <c r="L44" s="392"/>
      <c r="M44" s="76"/>
      <c r="N44" s="76"/>
      <c r="O44" s="76"/>
      <c r="P44" s="78"/>
      <c r="Q44" s="77"/>
      <c r="R44" s="74" t="e">
        <f>#REF!</f>
        <v>#REF!</v>
      </c>
      <c r="S44" s="75">
        <f>T44/IF(T$16=0,T$21,T$16)*IF(S$16=0,S$21,S$16)</f>
        <v>0</v>
      </c>
      <c r="T44" s="76">
        <f>H44*(1-$T$190)*(1-$N$190)*(1+$N$184)*(1+$N$191*$N$194)*(1+$T$184)*(1+$T$191*$T$194)</f>
        <v>0</v>
      </c>
      <c r="U44" s="44" t="e">
        <f t="shared" si="11"/>
        <v>#REF!</v>
      </c>
      <c r="Y44" s="69"/>
      <c r="Z44" s="69"/>
      <c r="AA44" s="69"/>
      <c r="AB44" s="69"/>
      <c r="AC44" s="69"/>
      <c r="AD44" s="69"/>
      <c r="AE44" s="69"/>
      <c r="AF44" s="69"/>
    </row>
    <row r="45" spans="5:32" s="10" customFormat="1" ht="19.5" hidden="1" outlineLevel="2" x14ac:dyDescent="0.25">
      <c r="E45" s="457" t="s">
        <v>60</v>
      </c>
      <c r="F45" s="70" t="s">
        <v>61</v>
      </c>
      <c r="G45" s="71" t="s">
        <v>31</v>
      </c>
      <c r="H45" s="77"/>
      <c r="I45" s="74"/>
      <c r="J45" s="76"/>
      <c r="K45" s="78"/>
      <c r="L45" s="392"/>
      <c r="M45" s="76"/>
      <c r="N45" s="76"/>
      <c r="O45" s="76"/>
      <c r="P45" s="78"/>
      <c r="Q45" s="77"/>
      <c r="R45" s="74" t="e">
        <f>#REF!</f>
        <v>#REF!</v>
      </c>
      <c r="S45" s="75">
        <f>T45/IF(T$16=0,T$21,T$16)*IF(S$16=0,S$21,S$16)</f>
        <v>0</v>
      </c>
      <c r="T45" s="76">
        <f>H45*(1-$T$190)*(1-$N$190)*(1+$N$184)*(1+$N$191*$N$194)*(1+$T$184)*(1+$T$191*$T$194)</f>
        <v>0</v>
      </c>
      <c r="U45" s="44" t="e">
        <f t="shared" si="11"/>
        <v>#REF!</v>
      </c>
      <c r="Y45" s="69"/>
      <c r="Z45" s="69"/>
      <c r="AA45" s="69"/>
      <c r="AB45" s="69"/>
      <c r="AC45" s="69"/>
      <c r="AD45" s="69"/>
      <c r="AE45" s="69"/>
      <c r="AF45" s="69"/>
    </row>
    <row r="46" spans="5:32" s="10" customFormat="1" ht="19.5" hidden="1" outlineLevel="2" x14ac:dyDescent="0.25">
      <c r="E46" s="457" t="s">
        <v>62</v>
      </c>
      <c r="F46" s="70" t="s">
        <v>63</v>
      </c>
      <c r="G46" s="71" t="s">
        <v>31</v>
      </c>
      <c r="H46" s="77"/>
      <c r="I46" s="74"/>
      <c r="J46" s="76"/>
      <c r="K46" s="78"/>
      <c r="L46" s="392"/>
      <c r="M46" s="76"/>
      <c r="N46" s="76"/>
      <c r="O46" s="76"/>
      <c r="P46" s="78"/>
      <c r="Q46" s="77"/>
      <c r="R46" s="74" t="e">
        <f>#REF!</f>
        <v>#REF!</v>
      </c>
      <c r="S46" s="75">
        <f>T46/IF(T$16=0,T$21,T$16)*IF(S$16=0,S$21,S$16)</f>
        <v>0</v>
      </c>
      <c r="T46" s="76">
        <f>H46*(1-$T$190)*(1-$N$190)*(1+$N$184)*(1+$N$191*$N$194)*(1+$T$184)*(1+$T$191*$T$194)</f>
        <v>0</v>
      </c>
      <c r="U46" s="44" t="e">
        <f t="shared" si="11"/>
        <v>#REF!</v>
      </c>
      <c r="Y46" s="69"/>
      <c r="Z46" s="69"/>
      <c r="AA46" s="69"/>
      <c r="AB46" s="69"/>
      <c r="AC46" s="69"/>
      <c r="AD46" s="69"/>
      <c r="AE46" s="69"/>
      <c r="AF46" s="69"/>
    </row>
    <row r="47" spans="5:32" s="10" customFormat="1" ht="30" hidden="1" outlineLevel="2" x14ac:dyDescent="0.25">
      <c r="E47" s="457" t="s">
        <v>64</v>
      </c>
      <c r="F47" s="70" t="s">
        <v>65</v>
      </c>
      <c r="G47" s="71" t="s">
        <v>31</v>
      </c>
      <c r="H47" s="77"/>
      <c r="I47" s="74"/>
      <c r="J47" s="76"/>
      <c r="K47" s="78"/>
      <c r="L47" s="392"/>
      <c r="M47" s="76"/>
      <c r="N47" s="76"/>
      <c r="O47" s="76"/>
      <c r="P47" s="78"/>
      <c r="Q47" s="77"/>
      <c r="R47" s="74" t="e">
        <f>#REF!</f>
        <v>#REF!</v>
      </c>
      <c r="S47" s="75">
        <f>T47/IF(T$16=0,T$21,T$16)*IF(S$16=0,S$21,S$16)</f>
        <v>0</v>
      </c>
      <c r="T47" s="76">
        <f>H47*(1-$T$190)*(1-$N$190)*(1+$N$184)*(1+$N$191*$N$194)*(1+$T$184)*(1+$T$191*$T$194)</f>
        <v>0</v>
      </c>
      <c r="U47" s="44" t="e">
        <f t="shared" si="11"/>
        <v>#REF!</v>
      </c>
      <c r="Y47" s="69"/>
      <c r="Z47" s="69"/>
      <c r="AA47" s="69"/>
      <c r="AB47" s="69"/>
      <c r="AC47" s="69"/>
      <c r="AD47" s="69"/>
      <c r="AE47" s="69"/>
      <c r="AF47" s="69"/>
    </row>
    <row r="48" spans="5:32" s="10" customFormat="1" ht="22.5" hidden="1" customHeight="1" outlineLevel="2" x14ac:dyDescent="0.25">
      <c r="E48" s="457" t="s">
        <v>66</v>
      </c>
      <c r="F48" s="70" t="s">
        <v>67</v>
      </c>
      <c r="G48" s="71" t="s">
        <v>31</v>
      </c>
      <c r="H48" s="77"/>
      <c r="I48" s="74"/>
      <c r="J48" s="76"/>
      <c r="K48" s="78"/>
      <c r="L48" s="392"/>
      <c r="M48" s="76"/>
      <c r="N48" s="76"/>
      <c r="O48" s="76"/>
      <c r="P48" s="78"/>
      <c r="Q48" s="77"/>
      <c r="R48" s="74" t="e">
        <f>#REF!</f>
        <v>#REF!</v>
      </c>
      <c r="S48" s="75">
        <f>T48/IF(T$16=0,T$21,T$16)*IF(S$16=0,S$21,S$16)</f>
        <v>0</v>
      </c>
      <c r="T48" s="76">
        <f>H48*(1-$T$190)*(1-$N$190)*(1+$N$184)*(1+$N$191*$N$194)*(1+$T$184)*(1+$T$191*$T$194)</f>
        <v>0</v>
      </c>
      <c r="U48" s="44" t="e">
        <f t="shared" si="11"/>
        <v>#REF!</v>
      </c>
      <c r="Y48" s="69"/>
      <c r="Z48" s="69"/>
      <c r="AA48" s="69"/>
      <c r="AB48" s="69"/>
      <c r="AC48" s="69"/>
      <c r="AD48" s="69"/>
      <c r="AE48" s="69"/>
      <c r="AF48" s="69"/>
    </row>
    <row r="49" spans="5:32" s="10" customFormat="1" ht="22.5" hidden="1" customHeight="1" outlineLevel="1" x14ac:dyDescent="0.25">
      <c r="E49" s="458" t="s">
        <v>68</v>
      </c>
      <c r="F49" s="70" t="s">
        <v>69</v>
      </c>
      <c r="G49" s="71" t="s">
        <v>31</v>
      </c>
      <c r="H49" s="77"/>
      <c r="I49" s="74"/>
      <c r="J49" s="76"/>
      <c r="K49" s="78"/>
      <c r="L49" s="392"/>
      <c r="M49" s="76"/>
      <c r="N49" s="76"/>
      <c r="O49" s="76"/>
      <c r="P49" s="78"/>
      <c r="Q49" s="77"/>
      <c r="R49" s="74" t="e">
        <f t="shared" ref="R49:U49" si="12">R50+R51+R52</f>
        <v>#REF!</v>
      </c>
      <c r="S49" s="75">
        <f t="shared" si="12"/>
        <v>0</v>
      </c>
      <c r="T49" s="76">
        <f t="shared" si="12"/>
        <v>0</v>
      </c>
      <c r="U49" s="80" t="e">
        <f t="shared" si="12"/>
        <v>#REF!</v>
      </c>
      <c r="Y49" s="69"/>
      <c r="Z49" s="69"/>
      <c r="AA49" s="69"/>
      <c r="AB49" s="69"/>
      <c r="AC49" s="69"/>
      <c r="AD49" s="69"/>
      <c r="AE49" s="69"/>
      <c r="AF49" s="69"/>
    </row>
    <row r="50" spans="5:32" s="10" customFormat="1" ht="30" hidden="1" outlineLevel="1" x14ac:dyDescent="0.25">
      <c r="E50" s="457" t="s">
        <v>70</v>
      </c>
      <c r="F50" s="70" t="s">
        <v>71</v>
      </c>
      <c r="G50" s="71" t="s">
        <v>31</v>
      </c>
      <c r="H50" s="77"/>
      <c r="I50" s="74"/>
      <c r="J50" s="76"/>
      <c r="K50" s="78"/>
      <c r="L50" s="392"/>
      <c r="M50" s="76"/>
      <c r="N50" s="76"/>
      <c r="O50" s="76"/>
      <c r="P50" s="78"/>
      <c r="Q50" s="77"/>
      <c r="R50" s="74" t="e">
        <f>#REF!</f>
        <v>#REF!</v>
      </c>
      <c r="S50" s="75">
        <f>T50/IF(T$16=0,T$21,T$16)*IF(S$16=0,S$21,S$16)</f>
        <v>0</v>
      </c>
      <c r="T50" s="76">
        <f>H50*(1-$T$190)*(1-$N$190)*(1+$N$184)*(1+$N$191*$N$194)*(1+$T$184)*(1+$T$191*$T$194)</f>
        <v>0</v>
      </c>
      <c r="U50" s="44" t="e">
        <f>R50+S50</f>
        <v>#REF!</v>
      </c>
      <c r="Y50" s="69"/>
      <c r="Z50" s="69"/>
      <c r="AA50" s="69"/>
      <c r="AB50" s="69"/>
      <c r="AC50" s="69"/>
      <c r="AD50" s="69"/>
      <c r="AE50" s="69"/>
      <c r="AF50" s="69"/>
    </row>
    <row r="51" spans="5:32" s="10" customFormat="1" ht="30" hidden="1" outlineLevel="1" x14ac:dyDescent="0.25">
      <c r="E51" s="457" t="s">
        <v>72</v>
      </c>
      <c r="F51" s="70" t="s">
        <v>73</v>
      </c>
      <c r="G51" s="71" t="s">
        <v>31</v>
      </c>
      <c r="H51" s="77"/>
      <c r="I51" s="74"/>
      <c r="J51" s="76"/>
      <c r="K51" s="78"/>
      <c r="L51" s="392"/>
      <c r="M51" s="76"/>
      <c r="N51" s="76"/>
      <c r="O51" s="76"/>
      <c r="P51" s="78"/>
      <c r="Q51" s="77"/>
      <c r="R51" s="74" t="e">
        <f>#REF!</f>
        <v>#REF!</v>
      </c>
      <c r="S51" s="75">
        <f>T51/IF(T$16=0,T$21,T$16)*IF(S$16=0,S$21,S$16)</f>
        <v>0</v>
      </c>
      <c r="T51" s="76">
        <f>H51*(1-$T$190)*(1-$N$190)*(1+$N$184)*(1+$N$191*$N$194)*(1+$T$184)*(1+$T$191*$T$194)</f>
        <v>0</v>
      </c>
      <c r="U51" s="44" t="e">
        <f>R51+S51</f>
        <v>#REF!</v>
      </c>
      <c r="Y51" s="69"/>
      <c r="Z51" s="69"/>
      <c r="AA51" s="69"/>
      <c r="AB51" s="69"/>
      <c r="AC51" s="69"/>
      <c r="AD51" s="69"/>
      <c r="AE51" s="69"/>
      <c r="AF51" s="69"/>
    </row>
    <row r="52" spans="5:32" s="10" customFormat="1" ht="30" hidden="1" outlineLevel="1" x14ac:dyDescent="0.25">
      <c r="E52" s="457" t="s">
        <v>74</v>
      </c>
      <c r="F52" s="70" t="s">
        <v>75</v>
      </c>
      <c r="G52" s="71" t="s">
        <v>31</v>
      </c>
      <c r="H52" s="77"/>
      <c r="I52" s="74"/>
      <c r="J52" s="76"/>
      <c r="K52" s="78"/>
      <c r="L52" s="392"/>
      <c r="M52" s="76"/>
      <c r="N52" s="76"/>
      <c r="O52" s="76"/>
      <c r="P52" s="78"/>
      <c r="Q52" s="77"/>
      <c r="R52" s="74" t="e">
        <f t="shared" ref="R52:U52" si="13">R53+R57</f>
        <v>#REF!</v>
      </c>
      <c r="S52" s="75">
        <f t="shared" si="13"/>
        <v>0</v>
      </c>
      <c r="T52" s="76">
        <f t="shared" si="13"/>
        <v>0</v>
      </c>
      <c r="U52" s="80" t="e">
        <f t="shared" si="13"/>
        <v>#REF!</v>
      </c>
      <c r="Y52" s="69"/>
      <c r="Z52" s="69"/>
      <c r="AA52" s="69"/>
      <c r="AB52" s="69"/>
      <c r="AC52" s="69"/>
      <c r="AD52" s="69"/>
      <c r="AE52" s="69"/>
      <c r="AF52" s="69"/>
    </row>
    <row r="53" spans="5:32" s="10" customFormat="1" ht="30" hidden="1" outlineLevel="2" x14ac:dyDescent="0.25">
      <c r="E53" s="457" t="s">
        <v>76</v>
      </c>
      <c r="F53" s="70" t="s">
        <v>77</v>
      </c>
      <c r="G53" s="71" t="s">
        <v>31</v>
      </c>
      <c r="H53" s="77"/>
      <c r="I53" s="74"/>
      <c r="J53" s="76"/>
      <c r="K53" s="78"/>
      <c r="L53" s="392"/>
      <c r="M53" s="76"/>
      <c r="N53" s="76"/>
      <c r="O53" s="76"/>
      <c r="P53" s="78"/>
      <c r="Q53" s="77"/>
      <c r="R53" s="74" t="e">
        <f>#REF!</f>
        <v>#REF!</v>
      </c>
      <c r="S53" s="75">
        <f>T53/IF(T$16=0,T$21,T$16)*IF(S$16=0,S$21,S$16)</f>
        <v>0</v>
      </c>
      <c r="T53" s="76">
        <f>T54*T55*12/1000</f>
        <v>0</v>
      </c>
      <c r="U53" s="44" t="e">
        <f>R53+S53</f>
        <v>#REF!</v>
      </c>
      <c r="Y53" s="69"/>
      <c r="Z53" s="69"/>
      <c r="AA53" s="69"/>
      <c r="AB53" s="69"/>
      <c r="AC53" s="69"/>
      <c r="AD53" s="69"/>
      <c r="AE53" s="69"/>
      <c r="AF53" s="69"/>
    </row>
    <row r="54" spans="5:32" s="10" customFormat="1" ht="22.5" hidden="1" customHeight="1" outlineLevel="2" x14ac:dyDescent="0.25">
      <c r="E54" s="457"/>
      <c r="F54" s="81" t="s">
        <v>78</v>
      </c>
      <c r="G54" s="82" t="s">
        <v>42</v>
      </c>
      <c r="H54" s="77"/>
      <c r="I54" s="74"/>
      <c r="J54" s="76"/>
      <c r="K54" s="78"/>
      <c r="L54" s="392"/>
      <c r="M54" s="76"/>
      <c r="N54" s="76"/>
      <c r="O54" s="76"/>
      <c r="P54" s="78"/>
      <c r="Q54" s="77"/>
      <c r="R54" s="74"/>
      <c r="S54" s="75"/>
      <c r="T54" s="76">
        <f>H54</f>
        <v>0</v>
      </c>
      <c r="U54" s="80"/>
      <c r="Y54" s="69"/>
      <c r="Z54" s="69"/>
      <c r="AA54" s="69"/>
      <c r="AB54" s="69"/>
      <c r="AC54" s="69"/>
      <c r="AD54" s="69"/>
      <c r="AE54" s="69"/>
      <c r="AF54" s="69"/>
    </row>
    <row r="55" spans="5:32" s="10" customFormat="1" ht="30" hidden="1" outlineLevel="2" x14ac:dyDescent="0.25">
      <c r="E55" s="457"/>
      <c r="F55" s="81" t="s">
        <v>79</v>
      </c>
      <c r="G55" s="82" t="s">
        <v>44</v>
      </c>
      <c r="H55" s="77"/>
      <c r="I55" s="74"/>
      <c r="J55" s="76"/>
      <c r="K55" s="78"/>
      <c r="L55" s="392"/>
      <c r="M55" s="76"/>
      <c r="N55" s="76"/>
      <c r="O55" s="76"/>
      <c r="P55" s="78"/>
      <c r="Q55" s="77"/>
      <c r="R55" s="74"/>
      <c r="S55" s="75"/>
      <c r="T55" s="76">
        <f>H55*(1-$T$190)*(1-$N$190)*(1+$N$184)*(1+$N$191*$N$194)*(1+$T$184)*(1+$T$191*$T$194)</f>
        <v>0</v>
      </c>
      <c r="U55" s="80"/>
      <c r="Y55" s="69"/>
      <c r="Z55" s="69"/>
      <c r="AA55" s="69"/>
      <c r="AB55" s="69"/>
      <c r="AC55" s="69"/>
      <c r="AD55" s="69"/>
      <c r="AE55" s="69"/>
      <c r="AF55" s="69"/>
    </row>
    <row r="56" spans="5:32" s="10" customFormat="1" ht="22.5" hidden="1" customHeight="1" outlineLevel="2" x14ac:dyDescent="0.25">
      <c r="E56" s="617" t="s">
        <v>80</v>
      </c>
      <c r="F56" s="618" t="s">
        <v>81</v>
      </c>
      <c r="G56" s="71" t="s">
        <v>46</v>
      </c>
      <c r="H56" s="83"/>
      <c r="I56" s="84"/>
      <c r="J56" s="85"/>
      <c r="K56" s="86"/>
      <c r="L56" s="393"/>
      <c r="M56" s="85"/>
      <c r="N56" s="85"/>
      <c r="O56" s="85"/>
      <c r="P56" s="86"/>
      <c r="Q56" s="83"/>
      <c r="R56" s="87"/>
      <c r="S56" s="88"/>
      <c r="T56" s="85">
        <f>P56</f>
        <v>0</v>
      </c>
      <c r="U56" s="80"/>
      <c r="Y56" s="69"/>
      <c r="Z56" s="69"/>
      <c r="AA56" s="69"/>
      <c r="AB56" s="69"/>
      <c r="AC56" s="69"/>
      <c r="AD56" s="69"/>
      <c r="AE56" s="69"/>
      <c r="AF56" s="69"/>
    </row>
    <row r="57" spans="5:32" s="10" customFormat="1" ht="22.5" hidden="1" customHeight="1" outlineLevel="2" x14ac:dyDescent="0.25">
      <c r="E57" s="617"/>
      <c r="F57" s="618"/>
      <c r="G57" s="71" t="s">
        <v>31</v>
      </c>
      <c r="H57" s="89"/>
      <c r="I57" s="90"/>
      <c r="J57" s="91"/>
      <c r="K57" s="92"/>
      <c r="L57" s="394"/>
      <c r="M57" s="91"/>
      <c r="N57" s="91"/>
      <c r="O57" s="91"/>
      <c r="P57" s="92"/>
      <c r="Q57" s="89"/>
      <c r="R57" s="74" t="e">
        <f>#REF!</f>
        <v>#REF!</v>
      </c>
      <c r="S57" s="75">
        <f>T57/IF(T$16=0,T$21,T$16)*IF(S$16=0,S$21,S$16)</f>
        <v>0</v>
      </c>
      <c r="T57" s="76">
        <f>H57*(1-$T$190)*(1-$N$190)*(1+$N$184)*(1+$N$191*$N$194)*(1+$T$184)*(1+$T$191*$T$194)</f>
        <v>0</v>
      </c>
      <c r="U57" s="44" t="e">
        <f>R57+S57</f>
        <v>#REF!</v>
      </c>
      <c r="Y57" s="69"/>
      <c r="Z57" s="69"/>
      <c r="AA57" s="69"/>
      <c r="AB57" s="69"/>
      <c r="AC57" s="69"/>
      <c r="AD57" s="69"/>
      <c r="AE57" s="69"/>
      <c r="AF57" s="69"/>
    </row>
    <row r="58" spans="5:32" s="10" customFormat="1" ht="22.5" hidden="1" customHeight="1" outlineLevel="1" x14ac:dyDescent="0.25">
      <c r="E58" s="458" t="s">
        <v>82</v>
      </c>
      <c r="F58" s="70" t="s">
        <v>83</v>
      </c>
      <c r="G58" s="71" t="s">
        <v>31</v>
      </c>
      <c r="H58" s="77"/>
      <c r="I58" s="74"/>
      <c r="J58" s="76"/>
      <c r="K58" s="78"/>
      <c r="L58" s="392"/>
      <c r="M58" s="76"/>
      <c r="N58" s="76"/>
      <c r="O58" s="76"/>
      <c r="P58" s="78"/>
      <c r="Q58" s="77"/>
      <c r="R58" s="74" t="e">
        <f t="shared" ref="R58:U58" si="14">R59+R60+R66+R67+R68+R69+R70</f>
        <v>#REF!</v>
      </c>
      <c r="S58" s="75">
        <f t="shared" si="14"/>
        <v>0</v>
      </c>
      <c r="T58" s="93">
        <f t="shared" si="14"/>
        <v>0</v>
      </c>
      <c r="U58" s="80" t="e">
        <f t="shared" si="14"/>
        <v>#REF!</v>
      </c>
      <c r="Y58" s="69"/>
      <c r="Z58" s="69"/>
      <c r="AA58" s="69"/>
      <c r="AB58" s="69"/>
      <c r="AC58" s="69"/>
      <c r="AD58" s="69"/>
      <c r="AE58" s="69"/>
      <c r="AF58" s="69"/>
    </row>
    <row r="59" spans="5:32" s="10" customFormat="1" ht="120" hidden="1" outlineLevel="2" x14ac:dyDescent="0.25">
      <c r="E59" s="457" t="s">
        <v>84</v>
      </c>
      <c r="F59" s="70" t="s">
        <v>85</v>
      </c>
      <c r="G59" s="71" t="s">
        <v>31</v>
      </c>
      <c r="H59" s="77"/>
      <c r="I59" s="74"/>
      <c r="J59" s="76"/>
      <c r="K59" s="78"/>
      <c r="L59" s="392"/>
      <c r="M59" s="76"/>
      <c r="N59" s="76"/>
      <c r="O59" s="76"/>
      <c r="P59" s="78"/>
      <c r="Q59" s="77"/>
      <c r="R59" s="74" t="e">
        <f>#REF!</f>
        <v>#REF!</v>
      </c>
      <c r="S59" s="75">
        <f>T59/IF(T$16=0,T$21,T$16)*IF(S$16=0,S$21,S$16)</f>
        <v>0</v>
      </c>
      <c r="T59" s="76">
        <f>H59*(1-$T$190)*(1-$N$190)*(1+$N$184)*(1+$N$191*$N$194)*(1+$T$184)*(1+$T$191*$T$194)</f>
        <v>0</v>
      </c>
      <c r="U59" s="44" t="e">
        <f>R59+S59</f>
        <v>#REF!</v>
      </c>
      <c r="Y59" s="69"/>
      <c r="Z59" s="69"/>
      <c r="AA59" s="69"/>
      <c r="AB59" s="69"/>
      <c r="AC59" s="69"/>
      <c r="AD59" s="69"/>
      <c r="AE59" s="69"/>
      <c r="AF59" s="69"/>
    </row>
    <row r="60" spans="5:32" s="10" customFormat="1" ht="45" hidden="1" outlineLevel="2" x14ac:dyDescent="0.25">
      <c r="E60" s="457" t="s">
        <v>86</v>
      </c>
      <c r="F60" s="70" t="s">
        <v>87</v>
      </c>
      <c r="G60" s="71" t="s">
        <v>31</v>
      </c>
      <c r="H60" s="77"/>
      <c r="I60" s="74"/>
      <c r="J60" s="76"/>
      <c r="K60" s="78"/>
      <c r="L60" s="392"/>
      <c r="M60" s="76"/>
      <c r="N60" s="76"/>
      <c r="O60" s="76"/>
      <c r="P60" s="78"/>
      <c r="Q60" s="77"/>
      <c r="R60" s="74" t="e">
        <f t="shared" ref="R60:U60" si="15">R61+R65</f>
        <v>#REF!</v>
      </c>
      <c r="S60" s="75">
        <f t="shared" si="15"/>
        <v>0</v>
      </c>
      <c r="T60" s="76">
        <f t="shared" si="15"/>
        <v>0</v>
      </c>
      <c r="U60" s="80" t="e">
        <f t="shared" si="15"/>
        <v>#REF!</v>
      </c>
      <c r="Y60" s="69"/>
      <c r="Z60" s="69"/>
      <c r="AA60" s="69"/>
      <c r="AB60" s="69"/>
      <c r="AC60" s="69"/>
      <c r="AD60" s="69"/>
      <c r="AE60" s="69"/>
      <c r="AF60" s="69"/>
    </row>
    <row r="61" spans="5:32" s="10" customFormat="1" ht="30" hidden="1" outlineLevel="3" x14ac:dyDescent="0.25">
      <c r="E61" s="457" t="s">
        <v>88</v>
      </c>
      <c r="F61" s="70" t="s">
        <v>89</v>
      </c>
      <c r="G61" s="71" t="s">
        <v>31</v>
      </c>
      <c r="H61" s="77"/>
      <c r="I61" s="74"/>
      <c r="J61" s="76"/>
      <c r="K61" s="78"/>
      <c r="L61" s="392"/>
      <c r="M61" s="76"/>
      <c r="N61" s="76"/>
      <c r="O61" s="76"/>
      <c r="P61" s="78"/>
      <c r="Q61" s="77"/>
      <c r="R61" s="74" t="e">
        <f>#REF!</f>
        <v>#REF!</v>
      </c>
      <c r="S61" s="75">
        <f>T61/IF(T$16=0,T$21,T$16)*IF(S$16=0,S$21,S$16)</f>
        <v>0</v>
      </c>
      <c r="T61" s="76">
        <f>T62*T63*12/1000</f>
        <v>0</v>
      </c>
      <c r="U61" s="44" t="e">
        <f>R61+S61</f>
        <v>#REF!</v>
      </c>
      <c r="Y61" s="69"/>
      <c r="Z61" s="69"/>
      <c r="AA61" s="69"/>
      <c r="AB61" s="69"/>
      <c r="AC61" s="69"/>
      <c r="AD61" s="69"/>
      <c r="AE61" s="69"/>
      <c r="AF61" s="69"/>
    </row>
    <row r="62" spans="5:32" s="10" customFormat="1" ht="30" hidden="1" outlineLevel="3" x14ac:dyDescent="0.25">
      <c r="E62" s="457"/>
      <c r="F62" s="81" t="s">
        <v>90</v>
      </c>
      <c r="G62" s="82" t="s">
        <v>42</v>
      </c>
      <c r="H62" s="77"/>
      <c r="I62" s="74"/>
      <c r="J62" s="76"/>
      <c r="K62" s="78"/>
      <c r="L62" s="392"/>
      <c r="M62" s="76"/>
      <c r="N62" s="76"/>
      <c r="O62" s="76"/>
      <c r="P62" s="78"/>
      <c r="Q62" s="77"/>
      <c r="R62" s="74"/>
      <c r="S62" s="75"/>
      <c r="T62" s="76">
        <f>N62</f>
        <v>0</v>
      </c>
      <c r="U62" s="80"/>
      <c r="Y62" s="69"/>
      <c r="Z62" s="69"/>
      <c r="AA62" s="69"/>
      <c r="AB62" s="69"/>
      <c r="AC62" s="69"/>
      <c r="AD62" s="69"/>
      <c r="AE62" s="69"/>
      <c r="AF62" s="69"/>
    </row>
    <row r="63" spans="5:32" s="10" customFormat="1" ht="45" hidden="1" outlineLevel="3" x14ac:dyDescent="0.25">
      <c r="E63" s="457"/>
      <c r="F63" s="81" t="s">
        <v>91</v>
      </c>
      <c r="G63" s="82" t="s">
        <v>44</v>
      </c>
      <c r="H63" s="77"/>
      <c r="I63" s="74"/>
      <c r="J63" s="76"/>
      <c r="K63" s="78"/>
      <c r="L63" s="392"/>
      <c r="M63" s="76"/>
      <c r="N63" s="76"/>
      <c r="O63" s="76"/>
      <c r="P63" s="78"/>
      <c r="Q63" s="77"/>
      <c r="R63" s="74"/>
      <c r="S63" s="75"/>
      <c r="T63" s="76">
        <f>H63*(1-$T$190)*(1-$N$190)*(1+$N$184)*(1+$N$191*$N$194)*(1+$T$184)*(1+$T$191*$T$194)</f>
        <v>0</v>
      </c>
      <c r="U63" s="80"/>
      <c r="Y63" s="69"/>
      <c r="Z63" s="69"/>
      <c r="AA63" s="69"/>
      <c r="AB63" s="69"/>
      <c r="AC63" s="69"/>
      <c r="AD63" s="69"/>
      <c r="AE63" s="69"/>
      <c r="AF63" s="69"/>
    </row>
    <row r="64" spans="5:32" s="10" customFormat="1" ht="22.5" hidden="1" customHeight="1" outlineLevel="3" x14ac:dyDescent="0.25">
      <c r="E64" s="617" t="s">
        <v>92</v>
      </c>
      <c r="F64" s="618" t="s">
        <v>93</v>
      </c>
      <c r="G64" s="71" t="s">
        <v>46</v>
      </c>
      <c r="H64" s="83"/>
      <c r="I64" s="84"/>
      <c r="J64" s="85"/>
      <c r="K64" s="86"/>
      <c r="L64" s="393"/>
      <c r="M64" s="85"/>
      <c r="N64" s="85"/>
      <c r="O64" s="85"/>
      <c r="P64" s="86"/>
      <c r="Q64" s="83"/>
      <c r="R64" s="87"/>
      <c r="S64" s="88"/>
      <c r="T64" s="85">
        <f>P64</f>
        <v>0</v>
      </c>
      <c r="U64" s="80"/>
      <c r="Y64" s="69"/>
      <c r="Z64" s="69"/>
      <c r="AA64" s="69"/>
      <c r="AB64" s="69"/>
      <c r="AC64" s="69"/>
      <c r="AD64" s="69"/>
      <c r="AE64" s="69"/>
      <c r="AF64" s="69"/>
    </row>
    <row r="65" spans="5:32" s="10" customFormat="1" ht="22.5" hidden="1" customHeight="1" outlineLevel="3" x14ac:dyDescent="0.25">
      <c r="E65" s="617"/>
      <c r="F65" s="618"/>
      <c r="G65" s="71" t="s">
        <v>31</v>
      </c>
      <c r="H65" s="89"/>
      <c r="I65" s="90"/>
      <c r="J65" s="91"/>
      <c r="K65" s="92"/>
      <c r="L65" s="394"/>
      <c r="M65" s="91"/>
      <c r="N65" s="91"/>
      <c r="O65" s="91"/>
      <c r="P65" s="92"/>
      <c r="Q65" s="89"/>
      <c r="R65" s="74" t="e">
        <f>#REF!</f>
        <v>#REF!</v>
      </c>
      <c r="S65" s="75">
        <f t="shared" ref="S65:S70" si="16">T65/IF(T$16=0,T$21,T$16)*IF(S$16=0,S$21,S$16)</f>
        <v>0</v>
      </c>
      <c r="T65" s="76">
        <f t="shared" ref="T65:T71" si="17">H65*(1-$T$190)*(1-$N$190)*(1+$N$184)*(1+$N$191*$N$194)*(1+$T$184)*(1+$T$191*$T$194)</f>
        <v>0</v>
      </c>
      <c r="U65" s="44" t="e">
        <f t="shared" ref="U65:U70" si="18">R65+S65</f>
        <v>#REF!</v>
      </c>
      <c r="Y65" s="69"/>
      <c r="Z65" s="69"/>
      <c r="AA65" s="69"/>
      <c r="AB65" s="69"/>
      <c r="AC65" s="69"/>
      <c r="AD65" s="69"/>
      <c r="AE65" s="69"/>
      <c r="AF65" s="69"/>
    </row>
    <row r="66" spans="5:32" s="10" customFormat="1" ht="45" hidden="1" outlineLevel="2" x14ac:dyDescent="0.25">
      <c r="E66" s="457" t="s">
        <v>94</v>
      </c>
      <c r="F66" s="70" t="s">
        <v>95</v>
      </c>
      <c r="G66" s="71" t="s">
        <v>31</v>
      </c>
      <c r="H66" s="77"/>
      <c r="I66" s="74"/>
      <c r="J66" s="76"/>
      <c r="K66" s="78"/>
      <c r="L66" s="392"/>
      <c r="M66" s="76"/>
      <c r="N66" s="76"/>
      <c r="O66" s="76"/>
      <c r="P66" s="78"/>
      <c r="Q66" s="77"/>
      <c r="R66" s="74" t="e">
        <f>#REF!</f>
        <v>#REF!</v>
      </c>
      <c r="S66" s="75">
        <f t="shared" si="16"/>
        <v>0</v>
      </c>
      <c r="T66" s="76">
        <f t="shared" si="17"/>
        <v>0</v>
      </c>
      <c r="U66" s="44" t="e">
        <f t="shared" si="18"/>
        <v>#REF!</v>
      </c>
      <c r="Y66" s="69"/>
      <c r="Z66" s="69"/>
      <c r="AA66" s="69"/>
      <c r="AB66" s="69"/>
      <c r="AC66" s="69"/>
      <c r="AD66" s="69"/>
      <c r="AE66" s="69"/>
      <c r="AF66" s="69"/>
    </row>
    <row r="67" spans="5:32" s="10" customFormat="1" ht="22.5" hidden="1" customHeight="1" outlineLevel="2" x14ac:dyDescent="0.25">
      <c r="E67" s="457" t="s">
        <v>96</v>
      </c>
      <c r="F67" s="70" t="s">
        <v>97</v>
      </c>
      <c r="G67" s="71" t="s">
        <v>31</v>
      </c>
      <c r="H67" s="77"/>
      <c r="I67" s="74"/>
      <c r="J67" s="76"/>
      <c r="K67" s="78"/>
      <c r="L67" s="392"/>
      <c r="M67" s="76"/>
      <c r="N67" s="76"/>
      <c r="O67" s="76"/>
      <c r="P67" s="78"/>
      <c r="Q67" s="77"/>
      <c r="R67" s="74" t="e">
        <f>#REF!</f>
        <v>#REF!</v>
      </c>
      <c r="S67" s="75">
        <f t="shared" si="16"/>
        <v>0</v>
      </c>
      <c r="T67" s="76">
        <f t="shared" si="17"/>
        <v>0</v>
      </c>
      <c r="U67" s="44" t="e">
        <f t="shared" si="18"/>
        <v>#REF!</v>
      </c>
      <c r="Y67" s="69"/>
      <c r="Z67" s="69"/>
      <c r="AA67" s="69"/>
      <c r="AB67" s="69"/>
      <c r="AC67" s="69"/>
      <c r="AD67" s="69"/>
      <c r="AE67" s="69"/>
      <c r="AF67" s="69"/>
    </row>
    <row r="68" spans="5:32" s="10" customFormat="1" ht="22.5" hidden="1" customHeight="1" outlineLevel="2" x14ac:dyDescent="0.25">
      <c r="E68" s="457" t="s">
        <v>98</v>
      </c>
      <c r="F68" s="70" t="s">
        <v>99</v>
      </c>
      <c r="G68" s="71" t="s">
        <v>31</v>
      </c>
      <c r="H68" s="77"/>
      <c r="I68" s="74"/>
      <c r="J68" s="76"/>
      <c r="K68" s="78"/>
      <c r="L68" s="392"/>
      <c r="M68" s="76"/>
      <c r="N68" s="76"/>
      <c r="O68" s="76"/>
      <c r="P68" s="78"/>
      <c r="Q68" s="77"/>
      <c r="R68" s="74" t="e">
        <f>#REF!</f>
        <v>#REF!</v>
      </c>
      <c r="S68" s="75">
        <f t="shared" si="16"/>
        <v>0</v>
      </c>
      <c r="T68" s="76">
        <f t="shared" si="17"/>
        <v>0</v>
      </c>
      <c r="U68" s="44" t="e">
        <f t="shared" si="18"/>
        <v>#REF!</v>
      </c>
      <c r="Y68" s="69"/>
      <c r="Z68" s="69"/>
      <c r="AA68" s="69"/>
      <c r="AB68" s="69"/>
      <c r="AC68" s="69"/>
      <c r="AD68" s="69"/>
      <c r="AE68" s="69"/>
      <c r="AF68" s="69"/>
    </row>
    <row r="69" spans="5:32" s="10" customFormat="1" ht="19.5" hidden="1" outlineLevel="2" x14ac:dyDescent="0.25">
      <c r="E69" s="457" t="s">
        <v>100</v>
      </c>
      <c r="F69" s="70" t="s">
        <v>101</v>
      </c>
      <c r="G69" s="71" t="s">
        <v>31</v>
      </c>
      <c r="H69" s="77"/>
      <c r="I69" s="74"/>
      <c r="J69" s="76"/>
      <c r="K69" s="78"/>
      <c r="L69" s="392"/>
      <c r="M69" s="76"/>
      <c r="N69" s="76"/>
      <c r="O69" s="76"/>
      <c r="P69" s="78"/>
      <c r="Q69" s="77"/>
      <c r="R69" s="74" t="e">
        <f>#REF!</f>
        <v>#REF!</v>
      </c>
      <c r="S69" s="75">
        <f t="shared" si="16"/>
        <v>0</v>
      </c>
      <c r="T69" s="76">
        <f t="shared" si="17"/>
        <v>0</v>
      </c>
      <c r="U69" s="44" t="e">
        <f t="shared" si="18"/>
        <v>#REF!</v>
      </c>
      <c r="Y69" s="69"/>
      <c r="Z69" s="69"/>
      <c r="AA69" s="69"/>
      <c r="AB69" s="69"/>
      <c r="AC69" s="69"/>
      <c r="AD69" s="69"/>
      <c r="AE69" s="69"/>
      <c r="AF69" s="69"/>
    </row>
    <row r="70" spans="5:32" s="10" customFormat="1" ht="60" hidden="1" outlineLevel="2" x14ac:dyDescent="0.25">
      <c r="E70" s="457" t="s">
        <v>102</v>
      </c>
      <c r="F70" s="70" t="s">
        <v>103</v>
      </c>
      <c r="G70" s="71" t="s">
        <v>31</v>
      </c>
      <c r="H70" s="77"/>
      <c r="I70" s="74"/>
      <c r="J70" s="76"/>
      <c r="K70" s="78"/>
      <c r="L70" s="392"/>
      <c r="M70" s="76"/>
      <c r="N70" s="76"/>
      <c r="O70" s="76"/>
      <c r="P70" s="78"/>
      <c r="Q70" s="77"/>
      <c r="R70" s="74" t="e">
        <f>#REF!</f>
        <v>#REF!</v>
      </c>
      <c r="S70" s="75">
        <f t="shared" si="16"/>
        <v>0</v>
      </c>
      <c r="T70" s="76">
        <f t="shared" si="17"/>
        <v>0</v>
      </c>
      <c r="U70" s="44" t="e">
        <f t="shared" si="18"/>
        <v>#REF!</v>
      </c>
      <c r="Y70" s="69"/>
      <c r="Z70" s="69"/>
      <c r="AA70" s="69"/>
      <c r="AB70" s="69"/>
      <c r="AC70" s="69"/>
      <c r="AD70" s="69"/>
      <c r="AE70" s="69"/>
      <c r="AF70" s="69"/>
    </row>
    <row r="71" spans="5:32" s="10" customFormat="1" ht="30" hidden="1" outlineLevel="1" x14ac:dyDescent="0.25">
      <c r="E71" s="458" t="s">
        <v>104</v>
      </c>
      <c r="F71" s="70" t="s">
        <v>105</v>
      </c>
      <c r="G71" s="71" t="s">
        <v>31</v>
      </c>
      <c r="H71" s="77"/>
      <c r="I71" s="74"/>
      <c r="J71" s="76"/>
      <c r="K71" s="78"/>
      <c r="L71" s="392"/>
      <c r="M71" s="76"/>
      <c r="N71" s="76"/>
      <c r="O71" s="76"/>
      <c r="P71" s="78"/>
      <c r="Q71" s="77"/>
      <c r="R71" s="74" t="e">
        <f t="shared" ref="R71" si="19">R72</f>
        <v>#REF!</v>
      </c>
      <c r="S71" s="75">
        <f>S72</f>
        <v>0</v>
      </c>
      <c r="T71" s="76">
        <f t="shared" si="17"/>
        <v>0</v>
      </c>
      <c r="U71" s="80" t="e">
        <f>U72</f>
        <v>#REF!</v>
      </c>
      <c r="Y71" s="69"/>
      <c r="Z71" s="69"/>
      <c r="AA71" s="69"/>
      <c r="AB71" s="69"/>
      <c r="AC71" s="69"/>
      <c r="AD71" s="69"/>
      <c r="AE71" s="69"/>
      <c r="AF71" s="69"/>
    </row>
    <row r="72" spans="5:32" s="10" customFormat="1" ht="30" hidden="1" outlineLevel="2" x14ac:dyDescent="0.25">
      <c r="E72" s="457" t="s">
        <v>106</v>
      </c>
      <c r="F72" s="70" t="s">
        <v>107</v>
      </c>
      <c r="G72" s="71" t="s">
        <v>31</v>
      </c>
      <c r="H72" s="72"/>
      <c r="I72" s="41"/>
      <c r="J72" s="39"/>
      <c r="K72" s="42"/>
      <c r="L72" s="38"/>
      <c r="M72" s="39"/>
      <c r="N72" s="39"/>
      <c r="O72" s="39"/>
      <c r="P72" s="42"/>
      <c r="Q72" s="72"/>
      <c r="R72" s="74" t="e">
        <f>#REF!</f>
        <v>#REF!</v>
      </c>
      <c r="S72" s="75">
        <f>T72/IF(T$16=0,T$21,T$16)*IF(S$16=0,S$21,S$16)</f>
        <v>0</v>
      </c>
      <c r="T72" s="39">
        <f>IF($N$7=2019,N72*(1-$T$190/100%)*(1+$T$184)*(1+$T$191*$T$194),0)</f>
        <v>0</v>
      </c>
      <c r="U72" s="44" t="e">
        <f>R72+S72</f>
        <v>#REF!</v>
      </c>
      <c r="Y72" s="69"/>
      <c r="Z72" s="69"/>
      <c r="AA72" s="69"/>
      <c r="AB72" s="69"/>
      <c r="AC72" s="69"/>
      <c r="AD72" s="69"/>
      <c r="AE72" s="69"/>
      <c r="AF72" s="69"/>
    </row>
    <row r="73" spans="5:32" s="106" customFormat="1" ht="19.5" collapsed="1" x14ac:dyDescent="0.25">
      <c r="E73" s="94" t="s">
        <v>108</v>
      </c>
      <c r="F73" s="95" t="s">
        <v>109</v>
      </c>
      <c r="G73" s="96" t="s">
        <v>31</v>
      </c>
      <c r="H73" s="97"/>
      <c r="I73" s="101">
        <v>39.487969230769224</v>
      </c>
      <c r="J73" s="102">
        <v>8.3097500010999994</v>
      </c>
      <c r="K73" s="100">
        <f>K74</f>
        <v>37.858683662129529</v>
      </c>
      <c r="L73" s="395">
        <v>11.593999999999999</v>
      </c>
      <c r="M73" s="99">
        <v>12.65</v>
      </c>
      <c r="N73" s="99">
        <v>25.3</v>
      </c>
      <c r="O73" s="99">
        <v>24.244</v>
      </c>
      <c r="P73" s="100">
        <v>24.971320000000002</v>
      </c>
      <c r="Q73" s="471">
        <f>Q74</f>
        <v>26.135999999999999</v>
      </c>
      <c r="R73" s="102">
        <f>R74</f>
        <v>12.65</v>
      </c>
      <c r="S73" s="102">
        <f>S74</f>
        <v>14.234000000000004</v>
      </c>
      <c r="T73" s="102">
        <f>T74</f>
        <v>28.468000000000007</v>
      </c>
      <c r="U73" s="104">
        <f>U74</f>
        <v>26.884000000000004</v>
      </c>
      <c r="V73" s="105">
        <f>U24/O24</f>
        <v>1.04742</v>
      </c>
      <c r="W73" s="69" t="s">
        <v>110</v>
      </c>
      <c r="X73" s="106" t="s">
        <v>111</v>
      </c>
      <c r="Y73" s="107" t="s">
        <v>112</v>
      </c>
      <c r="Z73" s="107" t="s">
        <v>113</v>
      </c>
      <c r="AA73" s="107" t="s">
        <v>114</v>
      </c>
      <c r="AB73" s="107" t="s">
        <v>115</v>
      </c>
      <c r="AC73" s="107" t="s">
        <v>116</v>
      </c>
      <c r="AD73" s="107" t="s">
        <v>117</v>
      </c>
      <c r="AE73" s="107" t="s">
        <v>118</v>
      </c>
      <c r="AF73" s="107" t="s">
        <v>119</v>
      </c>
    </row>
    <row r="74" spans="5:32" s="10" customFormat="1" ht="22.5" customHeight="1" outlineLevel="2" x14ac:dyDescent="0.25">
      <c r="E74" s="458"/>
      <c r="F74" s="70" t="s">
        <v>120</v>
      </c>
      <c r="G74" s="71" t="s">
        <v>31</v>
      </c>
      <c r="H74" s="77"/>
      <c r="I74" s="74">
        <v>39.487969230769224</v>
      </c>
      <c r="J74" s="108">
        <f>J75</f>
        <v>8.3097500010999994</v>
      </c>
      <c r="K74" s="78">
        <f>K75+K89</f>
        <v>37.858683662129529</v>
      </c>
      <c r="L74" s="392">
        <v>11.593999999999999</v>
      </c>
      <c r="M74" s="76">
        <v>12.65</v>
      </c>
      <c r="N74" s="76">
        <v>25.3</v>
      </c>
      <c r="O74" s="76">
        <v>24.244</v>
      </c>
      <c r="P74" s="78">
        <v>24.971320000000002</v>
      </c>
      <c r="Q74" s="472">
        <f>Q75+Q82+Q89+Q96+Q103</f>
        <v>26.135999999999999</v>
      </c>
      <c r="R74" s="108">
        <f>R75</f>
        <v>12.65</v>
      </c>
      <c r="S74" s="108">
        <f>$T74/IF($T$22=0,$T$18,$T$22)*IF($S$22=0,$S$18,S$22)</f>
        <v>14.234000000000004</v>
      </c>
      <c r="T74" s="108">
        <f>T75</f>
        <v>28.468000000000007</v>
      </c>
      <c r="U74" s="109">
        <f>U75+U82+U89+U96+U103</f>
        <v>26.884000000000004</v>
      </c>
      <c r="V74" s="110">
        <f>U73/O73</f>
        <v>1.1088929219600727</v>
      </c>
      <c r="W74" s="69" t="s">
        <v>121</v>
      </c>
      <c r="Y74" s="69"/>
      <c r="Z74" s="69"/>
      <c r="AA74" s="449">
        <f>X24</f>
        <v>1010.0441518852672</v>
      </c>
      <c r="AB74" s="69">
        <f t="shared" ref="AB74" si="20">AA74*AB24*0.99</f>
        <v>1066.9399389609644</v>
      </c>
      <c r="AC74" s="69">
        <f>AB74*AC24*0.99</f>
        <v>1202.0358740322017</v>
      </c>
      <c r="AD74" s="111">
        <f>AC74*AD24*0.99</f>
        <v>1260.2264306941006</v>
      </c>
      <c r="AE74" s="69">
        <f>AD74*AE24*0.99</f>
        <v>1347.4340996981323</v>
      </c>
      <c r="AF74" s="111">
        <f>AE74*AF24*0.99</f>
        <v>1411.3294247058177</v>
      </c>
    </row>
    <row r="75" spans="5:32" s="10" customFormat="1" ht="22.5" customHeight="1" outlineLevel="2" x14ac:dyDescent="0.25">
      <c r="E75" s="458"/>
      <c r="F75" s="112" t="s">
        <v>122</v>
      </c>
      <c r="G75" s="36" t="s">
        <v>123</v>
      </c>
      <c r="H75" s="77"/>
      <c r="I75" s="74">
        <v>39.487969230769224</v>
      </c>
      <c r="J75" s="108">
        <v>8.3097500010999994</v>
      </c>
      <c r="K75" s="78">
        <f>K76*K78</f>
        <v>37.858683662129529</v>
      </c>
      <c r="L75" s="392">
        <v>11.593999999999999</v>
      </c>
      <c r="M75" s="76">
        <v>12.65</v>
      </c>
      <c r="N75" s="76">
        <v>25.3</v>
      </c>
      <c r="O75" s="76">
        <v>24.244</v>
      </c>
      <c r="P75" s="78">
        <v>24.971320000000002</v>
      </c>
      <c r="Q75" s="472">
        <f>Q76*Q78</f>
        <v>26.135999999999999</v>
      </c>
      <c r="R75" s="108">
        <f>R76*R78</f>
        <v>12.65</v>
      </c>
      <c r="S75" s="108"/>
      <c r="T75" s="108">
        <f>(U75-R75)*2</f>
        <v>28.468000000000007</v>
      </c>
      <c r="U75" s="109">
        <f>U76*U78</f>
        <v>26.884000000000004</v>
      </c>
      <c r="Y75" s="69"/>
      <c r="Z75" s="69"/>
      <c r="AA75" s="69"/>
      <c r="AB75" s="69"/>
      <c r="AC75" s="69"/>
      <c r="AD75" s="69"/>
      <c r="AE75" s="69"/>
      <c r="AF75" s="69"/>
    </row>
    <row r="76" spans="5:32" s="10" customFormat="1" ht="22.5" customHeight="1" outlineLevel="3" x14ac:dyDescent="0.25">
      <c r="E76" s="458"/>
      <c r="F76" s="112" t="s">
        <v>124</v>
      </c>
      <c r="G76" s="113" t="s">
        <v>125</v>
      </c>
      <c r="H76" s="77"/>
      <c r="I76" s="74">
        <v>3.6630769230769227</v>
      </c>
      <c r="J76" s="76">
        <v>0.79</v>
      </c>
      <c r="K76" s="78">
        <f>I76/I16*K16</f>
        <v>3.5991889153251573</v>
      </c>
      <c r="L76" s="392">
        <v>1.1000000000000001</v>
      </c>
      <c r="M76" s="76">
        <v>1.1000000000000001</v>
      </c>
      <c r="N76" s="76">
        <v>2.2000000000000002</v>
      </c>
      <c r="O76" s="76">
        <v>2.2000000000000002</v>
      </c>
      <c r="P76" s="78">
        <v>2.2000000000000002</v>
      </c>
      <c r="Q76" s="78">
        <v>2.2000000000000002</v>
      </c>
      <c r="R76" s="108">
        <f>N76/$N$16*$R$16</f>
        <v>1.1000000000000001</v>
      </c>
      <c r="S76" s="108"/>
      <c r="T76" s="108">
        <f>U76</f>
        <v>2.2000000000000002</v>
      </c>
      <c r="U76" s="114">
        <f>N76/$N$16*$U$16</f>
        <v>2.2000000000000002</v>
      </c>
    </row>
    <row r="77" spans="5:32" s="10" customFormat="1" ht="22.5" hidden="1" customHeight="1" outlineLevel="3" x14ac:dyDescent="0.25">
      <c r="E77" s="458"/>
      <c r="F77" s="112" t="s">
        <v>126</v>
      </c>
      <c r="G77" s="113" t="s">
        <v>125</v>
      </c>
      <c r="H77" s="77"/>
      <c r="I77" s="74"/>
      <c r="J77" s="76"/>
      <c r="K77" s="78"/>
      <c r="L77" s="392"/>
      <c r="M77" s="76"/>
      <c r="N77" s="76"/>
      <c r="O77" s="76"/>
      <c r="P77" s="78"/>
      <c r="Q77" s="77">
        <v>0</v>
      </c>
      <c r="R77" s="108"/>
      <c r="S77" s="108"/>
      <c r="T77" s="108"/>
      <c r="U77" s="114"/>
    </row>
    <row r="78" spans="5:32" s="10" customFormat="1" ht="22.5" customHeight="1" outlineLevel="3" x14ac:dyDescent="0.25">
      <c r="E78" s="458"/>
      <c r="F78" s="112" t="s">
        <v>127</v>
      </c>
      <c r="G78" s="113" t="s">
        <v>128</v>
      </c>
      <c r="H78" s="77"/>
      <c r="I78" s="74">
        <v>10.78</v>
      </c>
      <c r="J78" s="76">
        <v>10.518670887468353</v>
      </c>
      <c r="K78" s="78">
        <f>J78</f>
        <v>10.518670887468353</v>
      </c>
      <c r="L78" s="392">
        <v>10.54</v>
      </c>
      <c r="M78" s="76">
        <v>11.5</v>
      </c>
      <c r="N78" s="76">
        <v>11.5</v>
      </c>
      <c r="O78" s="76">
        <v>11.02</v>
      </c>
      <c r="P78" s="78">
        <v>11.3506</v>
      </c>
      <c r="Q78" s="77">
        <v>11.879999999999999</v>
      </c>
      <c r="R78" s="108">
        <f>N78</f>
        <v>11.5</v>
      </c>
      <c r="S78" s="108"/>
      <c r="T78" s="108">
        <f>T75/T76</f>
        <v>12.940000000000003</v>
      </c>
      <c r="U78" s="114">
        <v>12.22</v>
      </c>
    </row>
    <row r="79" spans="5:32" s="10" customFormat="1" ht="22.5" hidden="1" customHeight="1" outlineLevel="3" x14ac:dyDescent="0.25">
      <c r="E79" s="458"/>
      <c r="F79" s="112" t="s">
        <v>129</v>
      </c>
      <c r="G79" s="113"/>
      <c r="H79" s="77"/>
      <c r="I79" s="74"/>
      <c r="J79" s="76"/>
      <c r="K79" s="78"/>
      <c r="L79" s="392"/>
      <c r="M79" s="76"/>
      <c r="N79" s="76"/>
      <c r="O79" s="76"/>
      <c r="P79" s="78"/>
      <c r="Q79" s="77"/>
      <c r="R79" s="108"/>
      <c r="S79" s="108"/>
      <c r="T79" s="108"/>
      <c r="U79" s="114"/>
    </row>
    <row r="80" spans="5:32" s="10" customFormat="1" ht="22.5" hidden="1" customHeight="1" outlineLevel="3" x14ac:dyDescent="0.25">
      <c r="E80" s="458"/>
      <c r="F80" s="112" t="s">
        <v>130</v>
      </c>
      <c r="G80" s="113" t="s">
        <v>131</v>
      </c>
      <c r="H80" s="77"/>
      <c r="I80" s="74"/>
      <c r="J80" s="76"/>
      <c r="K80" s="78"/>
      <c r="L80" s="392"/>
      <c r="M80" s="76"/>
      <c r="N80" s="76"/>
      <c r="O80" s="76"/>
      <c r="P80" s="78"/>
      <c r="Q80" s="77">
        <v>0</v>
      </c>
      <c r="R80" s="108"/>
      <c r="S80" s="108"/>
      <c r="T80" s="108"/>
      <c r="U80" s="114"/>
    </row>
    <row r="81" spans="5:22" s="10" customFormat="1" ht="22.5" hidden="1" customHeight="1" outlineLevel="3" x14ac:dyDescent="0.25">
      <c r="E81" s="458"/>
      <c r="F81" s="112" t="s">
        <v>132</v>
      </c>
      <c r="G81" s="113" t="s">
        <v>128</v>
      </c>
      <c r="H81" s="77"/>
      <c r="I81" s="74"/>
      <c r="J81" s="76"/>
      <c r="K81" s="78"/>
      <c r="L81" s="392"/>
      <c r="M81" s="76"/>
      <c r="N81" s="76"/>
      <c r="O81" s="76"/>
      <c r="P81" s="78"/>
      <c r="Q81" s="77">
        <v>0</v>
      </c>
      <c r="R81" s="108"/>
      <c r="S81" s="108"/>
      <c r="T81" s="108">
        <f>'[15]Расходы на энергоресурсы и ХВС'!N133</f>
        <v>0</v>
      </c>
      <c r="U81" s="114"/>
    </row>
    <row r="82" spans="5:22" s="10" customFormat="1" ht="22.5" hidden="1" customHeight="1" outlineLevel="2" x14ac:dyDescent="0.25">
      <c r="E82" s="458"/>
      <c r="F82" s="112" t="s">
        <v>133</v>
      </c>
      <c r="G82" s="36" t="s">
        <v>123</v>
      </c>
      <c r="H82" s="77"/>
      <c r="I82" s="74"/>
      <c r="J82" s="108"/>
      <c r="K82" s="78">
        <f>K83*K85</f>
        <v>0</v>
      </c>
      <c r="L82" s="392">
        <v>0</v>
      </c>
      <c r="M82" s="76" t="e">
        <v>#DIV/0!</v>
      </c>
      <c r="N82" s="76">
        <v>0</v>
      </c>
      <c r="O82" s="76">
        <v>0</v>
      </c>
      <c r="P82" s="78">
        <v>0</v>
      </c>
      <c r="Q82" s="472">
        <f>Q83*Q85</f>
        <v>0</v>
      </c>
      <c r="R82" s="108" t="e">
        <f>R83*R85</f>
        <v>#DIV/0!</v>
      </c>
      <c r="S82" s="108"/>
      <c r="T82" s="108" t="e">
        <f>(U82-R82)*2</f>
        <v>#DIV/0!</v>
      </c>
      <c r="U82" s="109">
        <f>U83*U85</f>
        <v>0</v>
      </c>
    </row>
    <row r="83" spans="5:22" s="10" customFormat="1" ht="22.5" hidden="1" customHeight="1" outlineLevel="3" x14ac:dyDescent="0.25">
      <c r="E83" s="458"/>
      <c r="F83" s="112" t="s">
        <v>124</v>
      </c>
      <c r="G83" s="113" t="s">
        <v>125</v>
      </c>
      <c r="H83" s="77"/>
      <c r="I83" s="74"/>
      <c r="J83" s="76"/>
      <c r="K83" s="78"/>
      <c r="L83" s="392">
        <v>0</v>
      </c>
      <c r="M83" s="76">
        <v>0</v>
      </c>
      <c r="N83" s="76">
        <v>0</v>
      </c>
      <c r="O83" s="76">
        <v>0</v>
      </c>
      <c r="P83" s="78">
        <v>0</v>
      </c>
      <c r="Q83" s="77">
        <v>0</v>
      </c>
      <c r="R83" s="108">
        <f>N83/$N$16*$R$16</f>
        <v>0</v>
      </c>
      <c r="S83" s="108"/>
      <c r="T83" s="108">
        <f>U83</f>
        <v>0</v>
      </c>
      <c r="U83" s="114">
        <f>N83/$N$16*$U$16</f>
        <v>0</v>
      </c>
    </row>
    <row r="84" spans="5:22" s="10" customFormat="1" ht="22.5" hidden="1" customHeight="1" outlineLevel="3" x14ac:dyDescent="0.25">
      <c r="E84" s="458"/>
      <c r="F84" s="112" t="s">
        <v>126</v>
      </c>
      <c r="G84" s="113" t="s">
        <v>125</v>
      </c>
      <c r="H84" s="77"/>
      <c r="I84" s="74"/>
      <c r="J84" s="76"/>
      <c r="K84" s="78"/>
      <c r="L84" s="392"/>
      <c r="M84" s="76"/>
      <c r="N84" s="76"/>
      <c r="O84" s="76"/>
      <c r="P84" s="78"/>
      <c r="Q84" s="77">
        <v>0</v>
      </c>
      <c r="R84" s="108"/>
      <c r="S84" s="108"/>
      <c r="T84" s="108"/>
      <c r="U84" s="114"/>
    </row>
    <row r="85" spans="5:22" s="10" customFormat="1" ht="22.5" hidden="1" customHeight="1" outlineLevel="3" x14ac:dyDescent="0.25">
      <c r="E85" s="458"/>
      <c r="F85" s="112" t="s">
        <v>127</v>
      </c>
      <c r="G85" s="113" t="s">
        <v>128</v>
      </c>
      <c r="H85" s="77"/>
      <c r="I85" s="74"/>
      <c r="J85" s="76"/>
      <c r="K85" s="78">
        <f>J85</f>
        <v>0</v>
      </c>
      <c r="L85" s="392">
        <v>5.86</v>
      </c>
      <c r="M85" s="76" t="e">
        <v>#DIV/0!</v>
      </c>
      <c r="N85" s="76" t="e">
        <v>#DIV/0!</v>
      </c>
      <c r="O85" s="76">
        <v>0</v>
      </c>
      <c r="P85" s="78" t="e">
        <v>#DIV/0!</v>
      </c>
      <c r="Q85" s="77">
        <v>0</v>
      </c>
      <c r="R85" s="108" t="e">
        <f>N85</f>
        <v>#DIV/0!</v>
      </c>
      <c r="S85" s="108"/>
      <c r="T85" s="108" t="e">
        <f>T82/T83</f>
        <v>#DIV/0!</v>
      </c>
      <c r="U85" s="114">
        <f>O85*(1+$U$186)</f>
        <v>0</v>
      </c>
    </row>
    <row r="86" spans="5:22" s="10" customFormat="1" ht="22.5" hidden="1" customHeight="1" outlineLevel="3" x14ac:dyDescent="0.25">
      <c r="E86" s="458"/>
      <c r="F86" s="112" t="s">
        <v>129</v>
      </c>
      <c r="G86" s="113"/>
      <c r="H86" s="77"/>
      <c r="I86" s="74"/>
      <c r="J86" s="76"/>
      <c r="K86" s="78"/>
      <c r="L86" s="392"/>
      <c r="M86" s="76"/>
      <c r="N86" s="76"/>
      <c r="O86" s="76"/>
      <c r="P86" s="78"/>
      <c r="Q86" s="77"/>
      <c r="R86" s="108"/>
      <c r="S86" s="108"/>
      <c r="T86" s="108"/>
      <c r="U86" s="114"/>
    </row>
    <row r="87" spans="5:22" s="10" customFormat="1" ht="22.5" hidden="1" customHeight="1" outlineLevel="3" x14ac:dyDescent="0.25">
      <c r="E87" s="458"/>
      <c r="F87" s="112" t="s">
        <v>130</v>
      </c>
      <c r="G87" s="113" t="s">
        <v>131</v>
      </c>
      <c r="H87" s="77"/>
      <c r="I87" s="74"/>
      <c r="J87" s="76"/>
      <c r="K87" s="78"/>
      <c r="L87" s="392"/>
      <c r="M87" s="76"/>
      <c r="N87" s="76"/>
      <c r="O87" s="76"/>
      <c r="P87" s="78"/>
      <c r="Q87" s="77">
        <v>0</v>
      </c>
      <c r="R87" s="108"/>
      <c r="S87" s="108"/>
      <c r="T87" s="108"/>
      <c r="U87" s="114"/>
    </row>
    <row r="88" spans="5:22" s="10" customFormat="1" ht="22.5" hidden="1" customHeight="1" outlineLevel="3" x14ac:dyDescent="0.25">
      <c r="E88" s="458"/>
      <c r="F88" s="112" t="s">
        <v>132</v>
      </c>
      <c r="G88" s="113" t="s">
        <v>128</v>
      </c>
      <c r="H88" s="77"/>
      <c r="I88" s="74"/>
      <c r="J88" s="76"/>
      <c r="K88" s="78"/>
      <c r="L88" s="392"/>
      <c r="M88" s="76"/>
      <c r="N88" s="76"/>
      <c r="O88" s="76"/>
      <c r="P88" s="78"/>
      <c r="Q88" s="77">
        <v>0</v>
      </c>
      <c r="R88" s="108"/>
      <c r="S88" s="108"/>
      <c r="T88" s="108">
        <f>'[15]Расходы на энергоресурсы и ХВС'!N134</f>
        <v>0</v>
      </c>
      <c r="U88" s="114"/>
    </row>
    <row r="89" spans="5:22" s="10" customFormat="1" ht="22.5" hidden="1" customHeight="1" outlineLevel="2" collapsed="1" x14ac:dyDescent="0.25">
      <c r="E89" s="458"/>
      <c r="F89" s="112" t="s">
        <v>134</v>
      </c>
      <c r="G89" s="36" t="s">
        <v>123</v>
      </c>
      <c r="H89" s="77"/>
      <c r="I89" s="74"/>
      <c r="J89" s="108"/>
      <c r="K89" s="78">
        <f>K90*K92</f>
        <v>0</v>
      </c>
      <c r="L89" s="392">
        <v>0</v>
      </c>
      <c r="M89" s="76" t="e">
        <v>#DIV/0!</v>
      </c>
      <c r="N89" s="76">
        <v>0</v>
      </c>
      <c r="O89" s="76">
        <v>0</v>
      </c>
      <c r="P89" s="78">
        <v>0</v>
      </c>
      <c r="Q89" s="472">
        <f>Q90*Q92</f>
        <v>0</v>
      </c>
      <c r="R89" s="108" t="e">
        <f>R90*R92</f>
        <v>#DIV/0!</v>
      </c>
      <c r="S89" s="108"/>
      <c r="T89" s="108" t="e">
        <f>(U89-R89)*2</f>
        <v>#DIV/0!</v>
      </c>
      <c r="U89" s="109">
        <f>U90*U92</f>
        <v>0</v>
      </c>
    </row>
    <row r="90" spans="5:22" s="10" customFormat="1" ht="22.5" hidden="1" customHeight="1" outlineLevel="3" x14ac:dyDescent="0.25">
      <c r="E90" s="458"/>
      <c r="F90" s="112" t="s">
        <v>124</v>
      </c>
      <c r="G90" s="113" t="s">
        <v>125</v>
      </c>
      <c r="H90" s="77"/>
      <c r="I90" s="74"/>
      <c r="J90" s="76"/>
      <c r="K90" s="78">
        <f>I90/I16*K16</f>
        <v>0</v>
      </c>
      <c r="L90" s="392">
        <v>0</v>
      </c>
      <c r="M90" s="76">
        <v>0</v>
      </c>
      <c r="N90" s="76">
        <v>0</v>
      </c>
      <c r="O90" s="76">
        <v>0</v>
      </c>
      <c r="P90" s="78">
        <v>0</v>
      </c>
      <c r="Q90" s="77">
        <v>0</v>
      </c>
      <c r="R90" s="108">
        <f>N90/$N$16*$R$16</f>
        <v>0</v>
      </c>
      <c r="S90" s="108"/>
      <c r="T90" s="108">
        <f>U90</f>
        <v>0</v>
      </c>
      <c r="U90" s="114">
        <f>N90/$N$16*$U$16</f>
        <v>0</v>
      </c>
      <c r="V90" s="34"/>
    </row>
    <row r="91" spans="5:22" s="10" customFormat="1" ht="22.5" hidden="1" customHeight="1" outlineLevel="3" x14ac:dyDescent="0.25">
      <c r="E91" s="458"/>
      <c r="F91" s="112" t="s">
        <v>126</v>
      </c>
      <c r="G91" s="113" t="s">
        <v>125</v>
      </c>
      <c r="H91" s="77"/>
      <c r="I91" s="74"/>
      <c r="J91" s="76"/>
      <c r="K91" s="78"/>
      <c r="L91" s="392"/>
      <c r="M91" s="76"/>
      <c r="N91" s="76"/>
      <c r="O91" s="76"/>
      <c r="P91" s="78"/>
      <c r="Q91" s="77">
        <v>0</v>
      </c>
      <c r="R91" s="108"/>
      <c r="S91" s="108"/>
      <c r="T91" s="108"/>
      <c r="U91" s="114"/>
    </row>
    <row r="92" spans="5:22" s="10" customFormat="1" ht="22.5" hidden="1" customHeight="1" outlineLevel="3" x14ac:dyDescent="0.25">
      <c r="E92" s="458"/>
      <c r="F92" s="112" t="s">
        <v>127</v>
      </c>
      <c r="G92" s="113" t="s">
        <v>128</v>
      </c>
      <c r="H92" s="77"/>
      <c r="I92" s="74"/>
      <c r="J92" s="76"/>
      <c r="K92" s="78">
        <f>J92</f>
        <v>0</v>
      </c>
      <c r="L92" s="392">
        <v>6.84</v>
      </c>
      <c r="M92" s="76" t="e">
        <v>#DIV/0!</v>
      </c>
      <c r="N92" s="76" t="e">
        <v>#DIV/0!</v>
      </c>
      <c r="O92" s="76">
        <v>0</v>
      </c>
      <c r="P92" s="78" t="e">
        <v>#DIV/0!</v>
      </c>
      <c r="Q92" s="77">
        <v>0</v>
      </c>
      <c r="R92" s="108" t="e">
        <f>N92</f>
        <v>#DIV/0!</v>
      </c>
      <c r="S92" s="108"/>
      <c r="T92" s="108" t="e">
        <f>T89/T90</f>
        <v>#DIV/0!</v>
      </c>
      <c r="U92" s="114">
        <f>O92*(1+$U$186)</f>
        <v>0</v>
      </c>
    </row>
    <row r="93" spans="5:22" s="10" customFormat="1" ht="22.5" hidden="1" customHeight="1" outlineLevel="3" x14ac:dyDescent="0.25">
      <c r="E93" s="458"/>
      <c r="F93" s="112" t="s">
        <v>129</v>
      </c>
      <c r="G93" s="113"/>
      <c r="H93" s="77"/>
      <c r="I93" s="74"/>
      <c r="J93" s="76"/>
      <c r="K93" s="78"/>
      <c r="L93" s="392"/>
      <c r="M93" s="76"/>
      <c r="N93" s="76"/>
      <c r="O93" s="76"/>
      <c r="P93" s="78"/>
      <c r="Q93" s="77"/>
      <c r="R93" s="108"/>
      <c r="S93" s="108"/>
      <c r="T93" s="108"/>
      <c r="U93" s="114"/>
    </row>
    <row r="94" spans="5:22" s="10" customFormat="1" ht="22.5" hidden="1" customHeight="1" outlineLevel="3" x14ac:dyDescent="0.25">
      <c r="E94" s="458"/>
      <c r="F94" s="112" t="s">
        <v>130</v>
      </c>
      <c r="G94" s="113" t="s">
        <v>131</v>
      </c>
      <c r="H94" s="77"/>
      <c r="I94" s="74"/>
      <c r="J94" s="76"/>
      <c r="K94" s="78"/>
      <c r="L94" s="392"/>
      <c r="M94" s="76"/>
      <c r="N94" s="76"/>
      <c r="O94" s="76"/>
      <c r="P94" s="78"/>
      <c r="Q94" s="77">
        <v>0</v>
      </c>
      <c r="R94" s="108"/>
      <c r="S94" s="108"/>
      <c r="T94" s="108"/>
      <c r="U94" s="114"/>
    </row>
    <row r="95" spans="5:22" s="10" customFormat="1" ht="22.5" hidden="1" customHeight="1" outlineLevel="3" x14ac:dyDescent="0.25">
      <c r="E95" s="458"/>
      <c r="F95" s="112" t="s">
        <v>132</v>
      </c>
      <c r="G95" s="113" t="s">
        <v>128</v>
      </c>
      <c r="H95" s="77"/>
      <c r="I95" s="74"/>
      <c r="J95" s="76"/>
      <c r="K95" s="78"/>
      <c r="L95" s="392"/>
      <c r="M95" s="76"/>
      <c r="N95" s="76"/>
      <c r="O95" s="76"/>
      <c r="P95" s="78"/>
      <c r="Q95" s="77">
        <v>0</v>
      </c>
      <c r="R95" s="108"/>
      <c r="S95" s="108"/>
      <c r="T95" s="108"/>
      <c r="U95" s="114"/>
    </row>
    <row r="96" spans="5:22" s="10" customFormat="1" ht="22.5" hidden="1" customHeight="1" outlineLevel="2" collapsed="1" x14ac:dyDescent="0.25">
      <c r="E96" s="458"/>
      <c r="F96" s="112" t="s">
        <v>135</v>
      </c>
      <c r="G96" s="36" t="s">
        <v>123</v>
      </c>
      <c r="H96" s="77"/>
      <c r="I96" s="74"/>
      <c r="J96" s="108"/>
      <c r="K96" s="78">
        <f>K97*K99</f>
        <v>0</v>
      </c>
      <c r="L96" s="392">
        <v>0</v>
      </c>
      <c r="M96" s="76" t="e">
        <v>#DIV/0!</v>
      </c>
      <c r="N96" s="76">
        <v>0</v>
      </c>
      <c r="O96" s="76">
        <v>0</v>
      </c>
      <c r="P96" s="78">
        <v>0</v>
      </c>
      <c r="Q96" s="472">
        <f>Q97*Q99</f>
        <v>0</v>
      </c>
      <c r="R96" s="108" t="e">
        <f>R97*R99</f>
        <v>#DIV/0!</v>
      </c>
      <c r="S96" s="108"/>
      <c r="T96" s="108" t="e">
        <f>(U96-R96)*2</f>
        <v>#DIV/0!</v>
      </c>
      <c r="U96" s="109">
        <f>U97*U99</f>
        <v>0</v>
      </c>
    </row>
    <row r="97" spans="5:22" s="10" customFormat="1" ht="22.5" hidden="1" customHeight="1" outlineLevel="3" x14ac:dyDescent="0.25">
      <c r="E97" s="458"/>
      <c r="F97" s="112" t="s">
        <v>124</v>
      </c>
      <c r="G97" s="113" t="s">
        <v>125</v>
      </c>
      <c r="H97" s="77"/>
      <c r="I97" s="74"/>
      <c r="J97" s="76"/>
      <c r="K97" s="78">
        <f>I197*K16</f>
        <v>3.5991889153251573</v>
      </c>
      <c r="L97" s="392">
        <v>0</v>
      </c>
      <c r="M97" s="76">
        <v>0</v>
      </c>
      <c r="N97" s="76">
        <v>0</v>
      </c>
      <c r="O97" s="76">
        <v>0</v>
      </c>
      <c r="P97" s="78">
        <v>0</v>
      </c>
      <c r="Q97" s="77">
        <v>0</v>
      </c>
      <c r="R97" s="108">
        <f>N97/$N$16*$R$16</f>
        <v>0</v>
      </c>
      <c r="S97" s="108"/>
      <c r="T97" s="108">
        <f>U97</f>
        <v>0</v>
      </c>
      <c r="U97" s="114">
        <f>N97/$N$16*$U$16</f>
        <v>0</v>
      </c>
    </row>
    <row r="98" spans="5:22" s="10" customFormat="1" ht="22.5" hidden="1" customHeight="1" outlineLevel="3" x14ac:dyDescent="0.25">
      <c r="E98" s="458"/>
      <c r="F98" s="112" t="s">
        <v>126</v>
      </c>
      <c r="G98" s="113" t="s">
        <v>125</v>
      </c>
      <c r="H98" s="77"/>
      <c r="I98" s="74"/>
      <c r="J98" s="76"/>
      <c r="K98" s="78"/>
      <c r="L98" s="392"/>
      <c r="M98" s="76"/>
      <c r="N98" s="76"/>
      <c r="O98" s="76"/>
      <c r="P98" s="78"/>
      <c r="Q98" s="77">
        <v>0</v>
      </c>
      <c r="R98" s="108"/>
      <c r="S98" s="108"/>
      <c r="T98" s="108"/>
      <c r="U98" s="114"/>
    </row>
    <row r="99" spans="5:22" s="10" customFormat="1" ht="22.5" hidden="1" customHeight="1" outlineLevel="3" x14ac:dyDescent="0.25">
      <c r="E99" s="458"/>
      <c r="F99" s="112" t="s">
        <v>127</v>
      </c>
      <c r="G99" s="113" t="s">
        <v>128</v>
      </c>
      <c r="H99" s="77"/>
      <c r="I99" s="74"/>
      <c r="J99" s="76"/>
      <c r="K99" s="78">
        <f>J99</f>
        <v>0</v>
      </c>
      <c r="L99" s="392">
        <v>4.7</v>
      </c>
      <c r="M99" s="76" t="e">
        <v>#DIV/0!</v>
      </c>
      <c r="N99" s="76" t="e">
        <v>#DIV/0!</v>
      </c>
      <c r="O99" s="76">
        <v>0</v>
      </c>
      <c r="P99" s="78" t="e">
        <v>#DIV/0!</v>
      </c>
      <c r="Q99" s="77">
        <v>0</v>
      </c>
      <c r="R99" s="108" t="e">
        <f>N99</f>
        <v>#DIV/0!</v>
      </c>
      <c r="S99" s="108"/>
      <c r="T99" s="108" t="e">
        <f>T96/T97</f>
        <v>#DIV/0!</v>
      </c>
      <c r="U99" s="114">
        <f>O99*(1+$U$186)</f>
        <v>0</v>
      </c>
    </row>
    <row r="100" spans="5:22" s="10" customFormat="1" ht="22.5" hidden="1" customHeight="1" outlineLevel="3" x14ac:dyDescent="0.25">
      <c r="E100" s="458"/>
      <c r="F100" s="112" t="s">
        <v>129</v>
      </c>
      <c r="G100" s="113"/>
      <c r="H100" s="77"/>
      <c r="I100" s="74"/>
      <c r="J100" s="76"/>
      <c r="K100" s="78"/>
      <c r="L100" s="392"/>
      <c r="M100" s="76"/>
      <c r="N100" s="76"/>
      <c r="O100" s="76"/>
      <c r="P100" s="78"/>
      <c r="Q100" s="77"/>
      <c r="R100" s="108"/>
      <c r="S100" s="108"/>
      <c r="T100" s="108"/>
      <c r="U100" s="114"/>
    </row>
    <row r="101" spans="5:22" s="10" customFormat="1" ht="22.5" hidden="1" customHeight="1" outlineLevel="3" x14ac:dyDescent="0.25">
      <c r="E101" s="458"/>
      <c r="F101" s="112" t="s">
        <v>130</v>
      </c>
      <c r="G101" s="113" t="s">
        <v>131</v>
      </c>
      <c r="H101" s="77"/>
      <c r="I101" s="74"/>
      <c r="J101" s="76"/>
      <c r="K101" s="78"/>
      <c r="L101" s="392"/>
      <c r="M101" s="76"/>
      <c r="N101" s="76"/>
      <c r="O101" s="76"/>
      <c r="P101" s="78"/>
      <c r="Q101" s="77">
        <v>0</v>
      </c>
      <c r="R101" s="108"/>
      <c r="S101" s="108"/>
      <c r="T101" s="108">
        <f>'[15]Расходы на энергоресурсы и ХВС'!N130</f>
        <v>0</v>
      </c>
      <c r="U101" s="114"/>
    </row>
    <row r="102" spans="5:22" s="10" customFormat="1" ht="22.5" hidden="1" customHeight="1" outlineLevel="3" x14ac:dyDescent="0.25">
      <c r="E102" s="458"/>
      <c r="F102" s="112" t="s">
        <v>132</v>
      </c>
      <c r="G102" s="113" t="s">
        <v>128</v>
      </c>
      <c r="H102" s="77"/>
      <c r="I102" s="74"/>
      <c r="J102" s="76"/>
      <c r="K102" s="78"/>
      <c r="L102" s="392"/>
      <c r="M102" s="76"/>
      <c r="N102" s="76"/>
      <c r="O102" s="76"/>
      <c r="P102" s="78"/>
      <c r="Q102" s="77">
        <v>0</v>
      </c>
      <c r="R102" s="108"/>
      <c r="S102" s="108"/>
      <c r="T102" s="108">
        <f>'[15]Расходы на энергоресурсы и ХВС'!N136</f>
        <v>0</v>
      </c>
      <c r="U102" s="114"/>
    </row>
    <row r="103" spans="5:22" s="10" customFormat="1" ht="19.5" hidden="1" outlineLevel="2" collapsed="1" x14ac:dyDescent="0.25">
      <c r="E103" s="458"/>
      <c r="F103" s="112" t="s">
        <v>136</v>
      </c>
      <c r="G103" s="36" t="s">
        <v>123</v>
      </c>
      <c r="H103" s="77"/>
      <c r="I103" s="74"/>
      <c r="J103" s="108"/>
      <c r="K103" s="78"/>
      <c r="L103" s="392">
        <v>0</v>
      </c>
      <c r="M103" s="76">
        <v>0</v>
      </c>
      <c r="N103" s="76">
        <v>0</v>
      </c>
      <c r="O103" s="76">
        <v>0</v>
      </c>
      <c r="P103" s="78">
        <v>0</v>
      </c>
      <c r="Q103" s="472">
        <f>Q104*Q106</f>
        <v>0</v>
      </c>
      <c r="R103" s="108">
        <f>R104*R106</f>
        <v>0</v>
      </c>
      <c r="S103" s="108"/>
      <c r="T103" s="108">
        <f>(U103-R103)*2</f>
        <v>0</v>
      </c>
      <c r="U103" s="109">
        <f>U104*U106</f>
        <v>0</v>
      </c>
    </row>
    <row r="104" spans="5:22" s="10" customFormat="1" ht="22.5" hidden="1" customHeight="1" outlineLevel="3" x14ac:dyDescent="0.25">
      <c r="E104" s="458"/>
      <c r="F104" s="112" t="s">
        <v>124</v>
      </c>
      <c r="G104" s="113" t="s">
        <v>125</v>
      </c>
      <c r="H104" s="77"/>
      <c r="I104" s="74"/>
      <c r="J104" s="76"/>
      <c r="K104" s="78"/>
      <c r="L104" s="392">
        <v>0</v>
      </c>
      <c r="M104" s="76">
        <v>0</v>
      </c>
      <c r="N104" s="76">
        <v>0</v>
      </c>
      <c r="O104" s="76">
        <v>0</v>
      </c>
      <c r="P104" s="78">
        <v>0</v>
      </c>
      <c r="Q104" s="77">
        <v>0</v>
      </c>
      <c r="R104" s="108">
        <f>N104/$N$16*$R$16</f>
        <v>0</v>
      </c>
      <c r="S104" s="108"/>
      <c r="T104" s="108">
        <f>U104</f>
        <v>0</v>
      </c>
      <c r="U104" s="114">
        <f>N104/$N$16*$U$16</f>
        <v>0</v>
      </c>
    </row>
    <row r="105" spans="5:22" s="10" customFormat="1" ht="22.5" hidden="1" customHeight="1" outlineLevel="3" x14ac:dyDescent="0.25">
      <c r="E105" s="458"/>
      <c r="F105" s="112" t="s">
        <v>126</v>
      </c>
      <c r="G105" s="113" t="s">
        <v>125</v>
      </c>
      <c r="H105" s="77"/>
      <c r="I105" s="74"/>
      <c r="J105" s="76"/>
      <c r="K105" s="78"/>
      <c r="L105" s="392"/>
      <c r="M105" s="76"/>
      <c r="N105" s="76"/>
      <c r="O105" s="76"/>
      <c r="P105" s="78"/>
      <c r="Q105" s="77">
        <v>0</v>
      </c>
      <c r="R105" s="108"/>
      <c r="S105" s="108"/>
      <c r="T105" s="108"/>
      <c r="U105" s="114"/>
    </row>
    <row r="106" spans="5:22" s="10" customFormat="1" ht="22.5" hidden="1" customHeight="1" outlineLevel="3" x14ac:dyDescent="0.25">
      <c r="E106" s="458"/>
      <c r="F106" s="112" t="s">
        <v>127</v>
      </c>
      <c r="G106" s="113" t="s">
        <v>128</v>
      </c>
      <c r="H106" s="77"/>
      <c r="I106" s="74"/>
      <c r="J106" s="76"/>
      <c r="K106" s="78"/>
      <c r="L106" s="392">
        <v>0</v>
      </c>
      <c r="M106" s="76">
        <v>0</v>
      </c>
      <c r="N106" s="76">
        <v>0</v>
      </c>
      <c r="O106" s="76">
        <v>0</v>
      </c>
      <c r="P106" s="78" t="e">
        <v>#DIV/0!</v>
      </c>
      <c r="Q106" s="77">
        <v>0</v>
      </c>
      <c r="R106" s="108">
        <f>N106</f>
        <v>0</v>
      </c>
      <c r="S106" s="108"/>
      <c r="T106" s="108" t="e">
        <f>T103/T104</f>
        <v>#DIV/0!</v>
      </c>
      <c r="U106" s="114">
        <f>O106*(1+$U$186)</f>
        <v>0</v>
      </c>
    </row>
    <row r="107" spans="5:22" s="10" customFormat="1" ht="22.5" hidden="1" customHeight="1" outlineLevel="3" x14ac:dyDescent="0.25">
      <c r="E107" s="458"/>
      <c r="F107" s="112" t="s">
        <v>129</v>
      </c>
      <c r="G107" s="113"/>
      <c r="H107" s="77"/>
      <c r="I107" s="74"/>
      <c r="J107" s="76"/>
      <c r="K107" s="78"/>
      <c r="L107" s="392"/>
      <c r="M107" s="76"/>
      <c r="N107" s="76"/>
      <c r="O107" s="76"/>
      <c r="P107" s="78"/>
      <c r="Q107" s="77"/>
      <c r="R107" s="108"/>
      <c r="S107" s="108"/>
      <c r="T107" s="108"/>
      <c r="U107" s="114"/>
    </row>
    <row r="108" spans="5:22" s="10" customFormat="1" ht="22.5" hidden="1" customHeight="1" outlineLevel="3" x14ac:dyDescent="0.25">
      <c r="E108" s="458"/>
      <c r="F108" s="112" t="s">
        <v>130</v>
      </c>
      <c r="G108" s="113" t="s">
        <v>131</v>
      </c>
      <c r="H108" s="77"/>
      <c r="I108" s="74"/>
      <c r="J108" s="76"/>
      <c r="K108" s="78"/>
      <c r="L108" s="392"/>
      <c r="M108" s="76"/>
      <c r="N108" s="76"/>
      <c r="O108" s="76"/>
      <c r="P108" s="78"/>
      <c r="Q108" s="77">
        <v>0</v>
      </c>
      <c r="R108" s="108"/>
      <c r="S108" s="108"/>
      <c r="T108" s="108">
        <f>'[15]Расходы на энергоресурсы и ХВС'!N131</f>
        <v>0</v>
      </c>
      <c r="U108" s="114"/>
    </row>
    <row r="109" spans="5:22" s="10" customFormat="1" ht="22.5" hidden="1" customHeight="1" outlineLevel="3" x14ac:dyDescent="0.25">
      <c r="E109" s="458"/>
      <c r="F109" s="112" t="s">
        <v>132</v>
      </c>
      <c r="G109" s="113" t="s">
        <v>128</v>
      </c>
      <c r="H109" s="77"/>
      <c r="I109" s="74"/>
      <c r="J109" s="76"/>
      <c r="K109" s="78"/>
      <c r="L109" s="392"/>
      <c r="M109" s="76"/>
      <c r="N109" s="76"/>
      <c r="O109" s="76"/>
      <c r="P109" s="78"/>
      <c r="Q109" s="77">
        <v>0</v>
      </c>
      <c r="R109" s="108"/>
      <c r="S109" s="108"/>
      <c r="T109" s="108">
        <f>'[15]Расходы на энергоресурсы и ХВС'!N137</f>
        <v>0</v>
      </c>
      <c r="U109" s="114"/>
    </row>
    <row r="110" spans="5:22" s="106" customFormat="1" ht="22.5" customHeight="1" x14ac:dyDescent="0.25">
      <c r="E110" s="94" t="s">
        <v>137</v>
      </c>
      <c r="F110" s="95" t="s">
        <v>138</v>
      </c>
      <c r="G110" s="96" t="s">
        <v>31</v>
      </c>
      <c r="H110" s="387"/>
      <c r="I110" s="366">
        <v>11.44</v>
      </c>
      <c r="J110" s="363">
        <v>0</v>
      </c>
      <c r="K110" s="115">
        <f t="shared" ref="K110" si="21">K111+K123+K131+K136+K138+K139+K140+K143+K146</f>
        <v>0</v>
      </c>
      <c r="L110" s="396">
        <v>6.7446637558973626</v>
      </c>
      <c r="M110" s="363">
        <v>9.229994943598923</v>
      </c>
      <c r="N110" s="99">
        <v>18.459989887197846</v>
      </c>
      <c r="O110" s="99">
        <v>15.974658699496283</v>
      </c>
      <c r="P110" s="100">
        <v>19.637170695855083</v>
      </c>
      <c r="Q110" s="473">
        <f>Q111+Q123+Q131+Q136+Q138+Q139+Q140+Q143+Q146</f>
        <v>18.84</v>
      </c>
      <c r="R110" s="115">
        <f t="shared" ref="R110:T110" si="22">R111+R123+R131+R136+R138+R139+R140+R143+R146</f>
        <v>0</v>
      </c>
      <c r="S110" s="115">
        <f t="shared" si="22"/>
        <v>18.84</v>
      </c>
      <c r="T110" s="115">
        <f t="shared" si="22"/>
        <v>37.68</v>
      </c>
      <c r="U110" s="115">
        <f>U111+U123+U131+U136+U138+U139+U140+U143+U146</f>
        <v>18.84</v>
      </c>
      <c r="V110" s="116"/>
    </row>
    <row r="111" spans="5:22" s="10" customFormat="1" ht="30" hidden="1" outlineLevel="1" x14ac:dyDescent="0.25">
      <c r="E111" s="458" t="s">
        <v>139</v>
      </c>
      <c r="F111" s="70" t="s">
        <v>140</v>
      </c>
      <c r="G111" s="71" t="s">
        <v>31</v>
      </c>
      <c r="H111" s="388"/>
      <c r="I111" s="367">
        <v>0</v>
      </c>
      <c r="J111" s="93"/>
      <c r="K111" s="79">
        <f t="shared" ref="K111:T111" si="23">SUM(K112:K122)</f>
        <v>0</v>
      </c>
      <c r="L111" s="397">
        <v>0</v>
      </c>
      <c r="M111" s="93">
        <v>0</v>
      </c>
      <c r="N111" s="93">
        <v>0</v>
      </c>
      <c r="O111" s="93">
        <v>0</v>
      </c>
      <c r="P111" s="79">
        <v>0</v>
      </c>
      <c r="Q111" s="474">
        <f t="shared" si="23"/>
        <v>0</v>
      </c>
      <c r="R111" s="79">
        <f t="shared" si="23"/>
        <v>0</v>
      </c>
      <c r="S111" s="79">
        <f t="shared" si="23"/>
        <v>0</v>
      </c>
      <c r="T111" s="79">
        <f t="shared" si="23"/>
        <v>0</v>
      </c>
      <c r="U111" s="79">
        <f>SUM(U112:U122)</f>
        <v>0</v>
      </c>
    </row>
    <row r="112" spans="5:22" s="10" customFormat="1" ht="22.5" hidden="1" customHeight="1" outlineLevel="4" x14ac:dyDescent="0.25">
      <c r="E112" s="458" t="s">
        <v>141</v>
      </c>
      <c r="F112" s="70" t="s">
        <v>142</v>
      </c>
      <c r="G112" s="71" t="s">
        <v>31</v>
      </c>
      <c r="H112" s="77"/>
      <c r="I112" s="74">
        <v>0</v>
      </c>
      <c r="J112" s="76"/>
      <c r="K112" s="78">
        <f>J112</f>
        <v>0</v>
      </c>
      <c r="L112" s="392">
        <v>0</v>
      </c>
      <c r="M112" s="76">
        <v>0</v>
      </c>
      <c r="N112" s="76">
        <v>0</v>
      </c>
      <c r="O112" s="76">
        <v>0</v>
      </c>
      <c r="P112" s="78">
        <v>0</v>
      </c>
      <c r="Q112" s="77">
        <v>0</v>
      </c>
      <c r="R112" s="74">
        <f>N112/$N$16*$R$16</f>
        <v>0</v>
      </c>
      <c r="S112" s="76">
        <f>T112/2</f>
        <v>0</v>
      </c>
      <c r="T112" s="76">
        <f>(U112-R112)*2</f>
        <v>0</v>
      </c>
      <c r="U112" s="73">
        <f>V112</f>
        <v>0</v>
      </c>
    </row>
    <row r="113" spans="5:24" s="10" customFormat="1" ht="22.5" hidden="1" customHeight="1" outlineLevel="4" x14ac:dyDescent="0.25">
      <c r="E113" s="458" t="s">
        <v>143</v>
      </c>
      <c r="F113" s="70" t="s">
        <v>144</v>
      </c>
      <c r="G113" s="71" t="s">
        <v>31</v>
      </c>
      <c r="H113" s="77"/>
      <c r="I113" s="74">
        <v>0</v>
      </c>
      <c r="J113" s="76"/>
      <c r="K113" s="78">
        <v>0</v>
      </c>
      <c r="L113" s="392">
        <v>0</v>
      </c>
      <c r="M113" s="76">
        <v>0</v>
      </c>
      <c r="N113" s="76">
        <v>0</v>
      </c>
      <c r="O113" s="76">
        <v>0</v>
      </c>
      <c r="P113" s="78">
        <v>0</v>
      </c>
      <c r="Q113" s="77">
        <v>0</v>
      </c>
      <c r="R113" s="74">
        <f>N113/$N$16*$R$16</f>
        <v>0</v>
      </c>
      <c r="S113" s="76">
        <f t="shared" ref="S113:S122" si="24">T113/2</f>
        <v>0</v>
      </c>
      <c r="T113" s="76">
        <f t="shared" ref="T113:T152" si="25">(U113-R113)*2</f>
        <v>0</v>
      </c>
      <c r="U113" s="73">
        <v>0</v>
      </c>
    </row>
    <row r="114" spans="5:24" s="10" customFormat="1" ht="22.5" hidden="1" customHeight="1" outlineLevel="4" x14ac:dyDescent="0.25">
      <c r="E114" s="458" t="s">
        <v>145</v>
      </c>
      <c r="F114" s="70" t="s">
        <v>146</v>
      </c>
      <c r="G114" s="71" t="s">
        <v>31</v>
      </c>
      <c r="H114" s="77"/>
      <c r="I114" s="74">
        <v>0</v>
      </c>
      <c r="J114" s="76"/>
      <c r="K114" s="78">
        <v>0</v>
      </c>
      <c r="L114" s="392">
        <v>0</v>
      </c>
      <c r="M114" s="76">
        <v>0</v>
      </c>
      <c r="N114" s="76">
        <v>0</v>
      </c>
      <c r="O114" s="76">
        <v>0</v>
      </c>
      <c r="P114" s="78">
        <v>0</v>
      </c>
      <c r="Q114" s="77">
        <v>0</v>
      </c>
      <c r="R114" s="74">
        <f>N114/$N$16*$R$16</f>
        <v>0</v>
      </c>
      <c r="S114" s="76">
        <f t="shared" si="24"/>
        <v>0</v>
      </c>
      <c r="T114" s="76">
        <f t="shared" si="25"/>
        <v>0</v>
      </c>
      <c r="U114" s="73">
        <f>N114*(1+$U$184)</f>
        <v>0</v>
      </c>
    </row>
    <row r="115" spans="5:24" s="10" customFormat="1" ht="22.5" hidden="1" customHeight="1" outlineLevel="4" x14ac:dyDescent="0.25">
      <c r="E115" s="458" t="s">
        <v>147</v>
      </c>
      <c r="F115" s="70" t="s">
        <v>148</v>
      </c>
      <c r="G115" s="71" t="s">
        <v>31</v>
      </c>
      <c r="H115" s="77"/>
      <c r="I115" s="74">
        <v>0</v>
      </c>
      <c r="J115" s="76"/>
      <c r="K115" s="78">
        <v>0</v>
      </c>
      <c r="L115" s="392">
        <v>0</v>
      </c>
      <c r="M115" s="76">
        <v>0</v>
      </c>
      <c r="N115" s="76">
        <v>0</v>
      </c>
      <c r="O115" s="76">
        <v>0</v>
      </c>
      <c r="P115" s="78">
        <v>0</v>
      </c>
      <c r="Q115" s="77">
        <v>0</v>
      </c>
      <c r="R115" s="74">
        <f>N115/$N$16*$R$16</f>
        <v>0</v>
      </c>
      <c r="S115" s="76">
        <f t="shared" si="24"/>
        <v>0</v>
      </c>
      <c r="T115" s="76">
        <f t="shared" si="25"/>
        <v>0</v>
      </c>
      <c r="U115" s="73">
        <f>N115*(1+$U$184)</f>
        <v>0</v>
      </c>
    </row>
    <row r="116" spans="5:24" s="10" customFormat="1" ht="21.75" hidden="1" customHeight="1" outlineLevel="4" x14ac:dyDescent="0.25">
      <c r="E116" s="458" t="s">
        <v>149</v>
      </c>
      <c r="F116" s="70" t="s">
        <v>150</v>
      </c>
      <c r="G116" s="71" t="s">
        <v>31</v>
      </c>
      <c r="H116" s="72"/>
      <c r="I116" s="74">
        <v>0</v>
      </c>
      <c r="J116" s="39"/>
      <c r="K116" s="42">
        <v>0</v>
      </c>
      <c r="L116" s="38">
        <v>0</v>
      </c>
      <c r="M116" s="39">
        <v>0</v>
      </c>
      <c r="N116" s="39">
        <v>0</v>
      </c>
      <c r="O116" s="39">
        <v>0</v>
      </c>
      <c r="P116" s="42">
        <v>0</v>
      </c>
      <c r="Q116" s="72">
        <v>0</v>
      </c>
      <c r="R116" s="74">
        <v>0</v>
      </c>
      <c r="S116" s="76">
        <f t="shared" si="24"/>
        <v>0</v>
      </c>
      <c r="T116" s="76">
        <f t="shared" si="25"/>
        <v>0</v>
      </c>
      <c r="U116" s="73">
        <v>0</v>
      </c>
    </row>
    <row r="117" spans="5:24" s="10" customFormat="1" ht="19.5" hidden="1" outlineLevel="4" x14ac:dyDescent="0.25">
      <c r="E117" s="458" t="s">
        <v>151</v>
      </c>
      <c r="F117" s="70" t="s">
        <v>152</v>
      </c>
      <c r="G117" s="71" t="s">
        <v>31</v>
      </c>
      <c r="H117" s="72"/>
      <c r="I117" s="74">
        <v>0</v>
      </c>
      <c r="J117" s="39"/>
      <c r="K117" s="42">
        <v>0</v>
      </c>
      <c r="L117" s="38">
        <v>0</v>
      </c>
      <c r="M117" s="39">
        <v>0</v>
      </c>
      <c r="N117" s="39">
        <v>0</v>
      </c>
      <c r="O117" s="39">
        <v>0</v>
      </c>
      <c r="P117" s="42">
        <v>0</v>
      </c>
      <c r="Q117" s="72">
        <v>0</v>
      </c>
      <c r="R117" s="74">
        <f t="shared" ref="R117:R122" si="26">N117/$N$16*$R$16</f>
        <v>0</v>
      </c>
      <c r="S117" s="76">
        <f t="shared" si="24"/>
        <v>0</v>
      </c>
      <c r="T117" s="76">
        <f t="shared" si="25"/>
        <v>0</v>
      </c>
      <c r="U117" s="73">
        <f t="shared" ref="U117:U122" si="27">N117*(1+$U$184)</f>
        <v>0</v>
      </c>
    </row>
    <row r="118" spans="5:24" s="10" customFormat="1" ht="22.5" hidden="1" customHeight="1" outlineLevel="4" x14ac:dyDescent="0.25">
      <c r="E118" s="458" t="s">
        <v>153</v>
      </c>
      <c r="F118" s="70" t="s">
        <v>154</v>
      </c>
      <c r="G118" s="71" t="s">
        <v>31</v>
      </c>
      <c r="H118" s="72"/>
      <c r="I118" s="74">
        <v>0</v>
      </c>
      <c r="J118" s="39"/>
      <c r="K118" s="42">
        <v>0</v>
      </c>
      <c r="L118" s="38">
        <v>0</v>
      </c>
      <c r="M118" s="39">
        <v>0</v>
      </c>
      <c r="N118" s="39">
        <v>0</v>
      </c>
      <c r="O118" s="39">
        <v>0</v>
      </c>
      <c r="P118" s="42">
        <v>0</v>
      </c>
      <c r="Q118" s="72">
        <v>0</v>
      </c>
      <c r="R118" s="74">
        <f t="shared" si="26"/>
        <v>0</v>
      </c>
      <c r="S118" s="76">
        <f t="shared" si="24"/>
        <v>0</v>
      </c>
      <c r="T118" s="76">
        <f t="shared" si="25"/>
        <v>0</v>
      </c>
      <c r="U118" s="73">
        <f t="shared" si="27"/>
        <v>0</v>
      </c>
    </row>
    <row r="119" spans="5:24" s="10" customFormat="1" ht="30" hidden="1" customHeight="1" outlineLevel="4" x14ac:dyDescent="0.25">
      <c r="E119" s="458" t="s">
        <v>155</v>
      </c>
      <c r="F119" s="70" t="s">
        <v>156</v>
      </c>
      <c r="G119" s="71" t="s">
        <v>31</v>
      </c>
      <c r="H119" s="72"/>
      <c r="I119" s="74">
        <v>0</v>
      </c>
      <c r="J119" s="39"/>
      <c r="K119" s="42">
        <v>0</v>
      </c>
      <c r="L119" s="38">
        <v>0</v>
      </c>
      <c r="M119" s="39">
        <v>0</v>
      </c>
      <c r="N119" s="39">
        <v>0</v>
      </c>
      <c r="O119" s="39">
        <v>0</v>
      </c>
      <c r="P119" s="42">
        <v>0</v>
      </c>
      <c r="Q119" s="72">
        <v>0</v>
      </c>
      <c r="R119" s="74">
        <f t="shared" si="26"/>
        <v>0</v>
      </c>
      <c r="S119" s="76">
        <f t="shared" si="24"/>
        <v>0</v>
      </c>
      <c r="T119" s="76">
        <f t="shared" si="25"/>
        <v>0</v>
      </c>
      <c r="U119" s="73">
        <f t="shared" si="27"/>
        <v>0</v>
      </c>
    </row>
    <row r="120" spans="5:24" s="10" customFormat="1" ht="19.5" hidden="1" outlineLevel="4" x14ac:dyDescent="0.25">
      <c r="E120" s="458" t="s">
        <v>157</v>
      </c>
      <c r="F120" s="70" t="s">
        <v>158</v>
      </c>
      <c r="G120" s="71" t="s">
        <v>31</v>
      </c>
      <c r="H120" s="72"/>
      <c r="I120" s="74">
        <v>0</v>
      </c>
      <c r="J120" s="39"/>
      <c r="K120" s="42">
        <v>0</v>
      </c>
      <c r="L120" s="38">
        <v>0</v>
      </c>
      <c r="M120" s="39">
        <v>0</v>
      </c>
      <c r="N120" s="39">
        <v>0</v>
      </c>
      <c r="O120" s="39">
        <v>0</v>
      </c>
      <c r="P120" s="42">
        <v>0</v>
      </c>
      <c r="Q120" s="72">
        <v>0</v>
      </c>
      <c r="R120" s="74">
        <f t="shared" si="26"/>
        <v>0</v>
      </c>
      <c r="S120" s="76">
        <f t="shared" si="24"/>
        <v>0</v>
      </c>
      <c r="T120" s="76">
        <f t="shared" si="25"/>
        <v>0</v>
      </c>
      <c r="U120" s="73">
        <f t="shared" si="27"/>
        <v>0</v>
      </c>
    </row>
    <row r="121" spans="5:24" s="10" customFormat="1" ht="22.5" hidden="1" customHeight="1" outlineLevel="4" x14ac:dyDescent="0.25">
      <c r="E121" s="458" t="s">
        <v>159</v>
      </c>
      <c r="F121" s="70" t="s">
        <v>160</v>
      </c>
      <c r="G121" s="71" t="s">
        <v>31</v>
      </c>
      <c r="H121" s="72"/>
      <c r="I121" s="74">
        <v>0</v>
      </c>
      <c r="J121" s="39"/>
      <c r="K121" s="42">
        <v>0</v>
      </c>
      <c r="L121" s="38">
        <v>0</v>
      </c>
      <c r="M121" s="39">
        <v>0</v>
      </c>
      <c r="N121" s="39">
        <v>0</v>
      </c>
      <c r="O121" s="39">
        <v>0</v>
      </c>
      <c r="P121" s="42">
        <v>0</v>
      </c>
      <c r="Q121" s="72">
        <v>0</v>
      </c>
      <c r="R121" s="74">
        <f t="shared" si="26"/>
        <v>0</v>
      </c>
      <c r="S121" s="76">
        <f t="shared" si="24"/>
        <v>0</v>
      </c>
      <c r="T121" s="76">
        <f t="shared" si="25"/>
        <v>0</v>
      </c>
      <c r="U121" s="73">
        <f t="shared" si="27"/>
        <v>0</v>
      </c>
    </row>
    <row r="122" spans="5:24" s="10" customFormat="1" ht="19.5" hidden="1" outlineLevel="4" x14ac:dyDescent="0.25">
      <c r="E122" s="458" t="s">
        <v>161</v>
      </c>
      <c r="F122" s="70" t="s">
        <v>162</v>
      </c>
      <c r="G122" s="71" t="s">
        <v>31</v>
      </c>
      <c r="H122" s="72"/>
      <c r="I122" s="74">
        <v>0</v>
      </c>
      <c r="J122" s="39"/>
      <c r="K122" s="42">
        <v>0</v>
      </c>
      <c r="L122" s="38">
        <v>0</v>
      </c>
      <c r="M122" s="39">
        <v>0</v>
      </c>
      <c r="N122" s="39">
        <v>0</v>
      </c>
      <c r="O122" s="39">
        <v>0</v>
      </c>
      <c r="P122" s="42">
        <v>0</v>
      </c>
      <c r="Q122" s="72">
        <v>0</v>
      </c>
      <c r="R122" s="74">
        <f t="shared" si="26"/>
        <v>0</v>
      </c>
      <c r="S122" s="76">
        <f t="shared" si="24"/>
        <v>0</v>
      </c>
      <c r="T122" s="76">
        <f t="shared" si="25"/>
        <v>0</v>
      </c>
      <c r="U122" s="73">
        <f t="shared" si="27"/>
        <v>0</v>
      </c>
      <c r="W122" s="425"/>
      <c r="X122" s="425"/>
    </row>
    <row r="123" spans="5:24" s="10" customFormat="1" ht="30" outlineLevel="1" collapsed="1" x14ac:dyDescent="0.25">
      <c r="E123" s="458" t="s">
        <v>163</v>
      </c>
      <c r="F123" s="70" t="s">
        <v>164</v>
      </c>
      <c r="G123" s="71" t="s">
        <v>31</v>
      </c>
      <c r="H123" s="388"/>
      <c r="I123" s="367">
        <v>11.44</v>
      </c>
      <c r="J123" s="93">
        <v>0</v>
      </c>
      <c r="K123" s="79">
        <f t="shared" ref="K123:T123" si="28">SUM(K124:K130)</f>
        <v>0</v>
      </c>
      <c r="L123" s="397">
        <v>6.7446637558973626</v>
      </c>
      <c r="M123" s="93">
        <v>9.229994943598923</v>
      </c>
      <c r="N123" s="93">
        <v>18.459989887197846</v>
      </c>
      <c r="O123" s="93">
        <v>15.974658699496283</v>
      </c>
      <c r="P123" s="79">
        <v>19.637170695855083</v>
      </c>
      <c r="Q123" s="474">
        <f t="shared" si="28"/>
        <v>18.84</v>
      </c>
      <c r="R123" s="79">
        <f t="shared" si="28"/>
        <v>0</v>
      </c>
      <c r="S123" s="79">
        <f t="shared" si="28"/>
        <v>18.84</v>
      </c>
      <c r="T123" s="79">
        <f t="shared" si="28"/>
        <v>37.68</v>
      </c>
      <c r="U123" s="79">
        <f>SUM(U124:U130)</f>
        <v>18.84</v>
      </c>
      <c r="W123" s="425"/>
      <c r="X123" s="425"/>
    </row>
    <row r="124" spans="5:24" s="10" customFormat="1" ht="22.5" customHeight="1" outlineLevel="2" x14ac:dyDescent="0.25">
      <c r="E124" s="457" t="s">
        <v>166</v>
      </c>
      <c r="F124" s="70" t="s">
        <v>167</v>
      </c>
      <c r="G124" s="71" t="s">
        <v>31</v>
      </c>
      <c r="H124" s="77"/>
      <c r="I124" s="74">
        <v>11.44</v>
      </c>
      <c r="J124" s="76">
        <v>0</v>
      </c>
      <c r="K124" s="78">
        <v>0</v>
      </c>
      <c r="L124" s="392">
        <v>6.7446637558973626</v>
      </c>
      <c r="M124" s="76">
        <v>9.229994943598923</v>
      </c>
      <c r="N124" s="76">
        <v>18.459989887197846</v>
      </c>
      <c r="O124" s="76">
        <v>15.974658699496283</v>
      </c>
      <c r="P124" s="78">
        <v>19.637170695855083</v>
      </c>
      <c r="Q124" s="77">
        <v>18.84</v>
      </c>
      <c r="R124" s="73">
        <f>R149*0.2/0.8</f>
        <v>0</v>
      </c>
      <c r="S124" s="76">
        <f t="shared" ref="S124:S130" si="29">T124/2</f>
        <v>18.84</v>
      </c>
      <c r="T124" s="76">
        <f t="shared" si="25"/>
        <v>37.68</v>
      </c>
      <c r="U124" s="117">
        <f>Q124</f>
        <v>18.84</v>
      </c>
      <c r="V124" s="430" t="s">
        <v>165</v>
      </c>
      <c r="W124" s="425">
        <f>IF(V124="УСНО",(U24+U73+U111+U125+U126+U128+U130+U127+U129+U131+U136+U138+U139+U140+U143+U146+U147+U149+U153)*1/99,U149/0.8*0.2)</f>
        <v>19.867716479749856</v>
      </c>
      <c r="X124" s="425"/>
    </row>
    <row r="125" spans="5:24" s="10" customFormat="1" ht="22.5" hidden="1" customHeight="1" outlineLevel="2" x14ac:dyDescent="0.25">
      <c r="E125" s="457" t="s">
        <v>169</v>
      </c>
      <c r="F125" s="70" t="s">
        <v>170</v>
      </c>
      <c r="G125" s="71" t="s">
        <v>31</v>
      </c>
      <c r="H125" s="77"/>
      <c r="I125" s="74">
        <v>0</v>
      </c>
      <c r="J125" s="76"/>
      <c r="K125" s="78">
        <f>J125</f>
        <v>0</v>
      </c>
      <c r="L125" s="392">
        <v>0</v>
      </c>
      <c r="M125" s="76">
        <v>0</v>
      </c>
      <c r="N125" s="76">
        <v>0</v>
      </c>
      <c r="O125" s="76">
        <v>0</v>
      </c>
      <c r="P125" s="78">
        <v>0</v>
      </c>
      <c r="Q125" s="77">
        <v>0</v>
      </c>
      <c r="R125" s="74">
        <f t="shared" ref="R125:R130" si="30">N125/$N$16*$R$16</f>
        <v>0</v>
      </c>
      <c r="S125" s="76">
        <f t="shared" si="29"/>
        <v>0</v>
      </c>
      <c r="T125" s="76">
        <f t="shared" si="25"/>
        <v>0</v>
      </c>
      <c r="U125" s="73">
        <f>Q125</f>
        <v>0</v>
      </c>
      <c r="W125" s="425"/>
      <c r="X125" s="425"/>
    </row>
    <row r="126" spans="5:24" s="10" customFormat="1" ht="30" hidden="1" outlineLevel="2" x14ac:dyDescent="0.25">
      <c r="E126" s="457" t="s">
        <v>171</v>
      </c>
      <c r="F126" s="70" t="s">
        <v>172</v>
      </c>
      <c r="G126" s="71" t="s">
        <v>31</v>
      </c>
      <c r="H126" s="77"/>
      <c r="I126" s="74">
        <v>0</v>
      </c>
      <c r="J126" s="76"/>
      <c r="K126" s="78">
        <f>J126</f>
        <v>0</v>
      </c>
      <c r="L126" s="392">
        <v>0</v>
      </c>
      <c r="M126" s="76">
        <v>0</v>
      </c>
      <c r="N126" s="76">
        <v>0</v>
      </c>
      <c r="O126" s="76">
        <v>0</v>
      </c>
      <c r="P126" s="78">
        <v>0</v>
      </c>
      <c r="Q126" s="77">
        <v>0</v>
      </c>
      <c r="R126" s="74">
        <f t="shared" si="30"/>
        <v>0</v>
      </c>
      <c r="S126" s="76">
        <f t="shared" si="29"/>
        <v>0</v>
      </c>
      <c r="T126" s="76">
        <f t="shared" si="25"/>
        <v>0</v>
      </c>
      <c r="U126" s="73">
        <f>N126*(1+$U$184)</f>
        <v>0</v>
      </c>
      <c r="W126" s="425"/>
      <c r="X126" s="425"/>
    </row>
    <row r="127" spans="5:24" s="10" customFormat="1" ht="30" hidden="1" outlineLevel="2" x14ac:dyDescent="0.25">
      <c r="E127" s="457" t="s">
        <v>173</v>
      </c>
      <c r="F127" s="70" t="s">
        <v>174</v>
      </c>
      <c r="G127" s="71" t="s">
        <v>31</v>
      </c>
      <c r="H127" s="77"/>
      <c r="I127" s="74">
        <v>0</v>
      </c>
      <c r="J127" s="76"/>
      <c r="K127" s="78">
        <v>0</v>
      </c>
      <c r="L127" s="392">
        <v>0</v>
      </c>
      <c r="M127" s="76">
        <v>0</v>
      </c>
      <c r="N127" s="76">
        <v>0</v>
      </c>
      <c r="O127" s="76"/>
      <c r="P127" s="78"/>
      <c r="Q127" s="77">
        <v>0</v>
      </c>
      <c r="R127" s="74">
        <f t="shared" si="30"/>
        <v>0</v>
      </c>
      <c r="S127" s="76">
        <f t="shared" si="29"/>
        <v>0</v>
      </c>
      <c r="T127" s="76">
        <f t="shared" si="25"/>
        <v>0</v>
      </c>
      <c r="U127" s="73">
        <f>N127*(1+$U$184)</f>
        <v>0</v>
      </c>
    </row>
    <row r="128" spans="5:24" s="10" customFormat="1" ht="22.5" hidden="1" customHeight="1" outlineLevel="2" x14ac:dyDescent="0.25">
      <c r="E128" s="457" t="s">
        <v>175</v>
      </c>
      <c r="F128" s="70" t="s">
        <v>176</v>
      </c>
      <c r="G128" s="71" t="s">
        <v>31</v>
      </c>
      <c r="H128" s="77"/>
      <c r="I128" s="74">
        <v>0</v>
      </c>
      <c r="J128" s="76"/>
      <c r="K128" s="78">
        <f>J128</f>
        <v>0</v>
      </c>
      <c r="L128" s="392">
        <v>0</v>
      </c>
      <c r="M128" s="76">
        <v>0</v>
      </c>
      <c r="N128" s="76">
        <v>0</v>
      </c>
      <c r="O128" s="76">
        <v>0</v>
      </c>
      <c r="P128" s="78">
        <v>0</v>
      </c>
      <c r="Q128" s="77">
        <v>0</v>
      </c>
      <c r="R128" s="74">
        <f t="shared" si="30"/>
        <v>0</v>
      </c>
      <c r="S128" s="76">
        <f t="shared" si="29"/>
        <v>0</v>
      </c>
      <c r="T128" s="76">
        <f t="shared" si="25"/>
        <v>0</v>
      </c>
      <c r="U128" s="73">
        <f>N128*(1+$U$184)</f>
        <v>0</v>
      </c>
    </row>
    <row r="129" spans="5:21" s="10" customFormat="1" ht="22.5" hidden="1" customHeight="1" outlineLevel="2" x14ac:dyDescent="0.25">
      <c r="E129" s="457" t="s">
        <v>177</v>
      </c>
      <c r="F129" s="70" t="s">
        <v>178</v>
      </c>
      <c r="G129" s="71" t="s">
        <v>31</v>
      </c>
      <c r="H129" s="77"/>
      <c r="I129" s="74">
        <v>0</v>
      </c>
      <c r="J129" s="76"/>
      <c r="K129" s="78">
        <v>0</v>
      </c>
      <c r="L129" s="392">
        <v>0</v>
      </c>
      <c r="M129" s="76">
        <v>0</v>
      </c>
      <c r="N129" s="76">
        <v>0</v>
      </c>
      <c r="O129" s="76">
        <v>0</v>
      </c>
      <c r="P129" s="78">
        <v>0</v>
      </c>
      <c r="Q129" s="77">
        <v>0</v>
      </c>
      <c r="R129" s="74">
        <f t="shared" si="30"/>
        <v>0</v>
      </c>
      <c r="S129" s="76">
        <f t="shared" si="29"/>
        <v>0</v>
      </c>
      <c r="T129" s="76">
        <f t="shared" si="25"/>
        <v>0</v>
      </c>
      <c r="U129" s="73">
        <f>K129</f>
        <v>0</v>
      </c>
    </row>
    <row r="130" spans="5:21" s="10" customFormat="1" ht="22.5" hidden="1" customHeight="1" outlineLevel="2" x14ac:dyDescent="0.25">
      <c r="E130" s="457" t="s">
        <v>179</v>
      </c>
      <c r="F130" s="70" t="s">
        <v>180</v>
      </c>
      <c r="G130" s="71" t="s">
        <v>31</v>
      </c>
      <c r="H130" s="77"/>
      <c r="I130" s="74">
        <v>0</v>
      </c>
      <c r="J130" s="76"/>
      <c r="K130" s="78">
        <v>0</v>
      </c>
      <c r="L130" s="392">
        <v>0</v>
      </c>
      <c r="M130" s="76">
        <v>0</v>
      </c>
      <c r="N130" s="76">
        <v>0</v>
      </c>
      <c r="O130" s="76">
        <v>0</v>
      </c>
      <c r="P130" s="78">
        <v>0</v>
      </c>
      <c r="Q130" s="77">
        <v>0</v>
      </c>
      <c r="R130" s="74">
        <f t="shared" si="30"/>
        <v>0</v>
      </c>
      <c r="S130" s="76">
        <f t="shared" si="29"/>
        <v>0</v>
      </c>
      <c r="T130" s="76">
        <f t="shared" si="25"/>
        <v>0</v>
      </c>
      <c r="U130" s="73">
        <f>N130*(1+$U$184)</f>
        <v>0</v>
      </c>
    </row>
    <row r="131" spans="5:21" s="10" customFormat="1" ht="30" hidden="1" outlineLevel="1" x14ac:dyDescent="0.25">
      <c r="E131" s="458" t="s">
        <v>181</v>
      </c>
      <c r="F131" s="70" t="s">
        <v>182</v>
      </c>
      <c r="G131" s="71" t="s">
        <v>31</v>
      </c>
      <c r="H131" s="388"/>
      <c r="I131" s="367">
        <v>0</v>
      </c>
      <c r="J131" s="93"/>
      <c r="K131" s="79">
        <f t="shared" ref="K131:T131" si="31">SUM(K132:K135)</f>
        <v>0</v>
      </c>
      <c r="L131" s="397">
        <v>0</v>
      </c>
      <c r="M131" s="93">
        <v>0</v>
      </c>
      <c r="N131" s="93">
        <v>0</v>
      </c>
      <c r="O131" s="93">
        <v>0</v>
      </c>
      <c r="P131" s="79">
        <v>0</v>
      </c>
      <c r="Q131" s="474">
        <f t="shared" si="31"/>
        <v>0</v>
      </c>
      <c r="R131" s="79">
        <f t="shared" si="31"/>
        <v>0</v>
      </c>
      <c r="S131" s="79">
        <f t="shared" si="31"/>
        <v>0</v>
      </c>
      <c r="T131" s="79">
        <f t="shared" si="31"/>
        <v>0</v>
      </c>
      <c r="U131" s="79">
        <f>SUM(U132:U135)</f>
        <v>0</v>
      </c>
    </row>
    <row r="132" spans="5:21" s="10" customFormat="1" ht="22.5" hidden="1" customHeight="1" outlineLevel="2" x14ac:dyDescent="0.25">
      <c r="E132" s="457" t="s">
        <v>183</v>
      </c>
      <c r="F132" s="70" t="s">
        <v>184</v>
      </c>
      <c r="G132" s="71" t="s">
        <v>31</v>
      </c>
      <c r="H132" s="77"/>
      <c r="I132" s="74">
        <v>0</v>
      </c>
      <c r="J132" s="76"/>
      <c r="K132" s="78">
        <f>I132</f>
        <v>0</v>
      </c>
      <c r="L132" s="392">
        <v>0</v>
      </c>
      <c r="M132" s="76">
        <v>0</v>
      </c>
      <c r="N132" s="76">
        <v>0</v>
      </c>
      <c r="O132" s="76">
        <v>0</v>
      </c>
      <c r="P132" s="78">
        <v>0</v>
      </c>
      <c r="Q132" s="77">
        <v>0</v>
      </c>
      <c r="R132" s="74">
        <f>N132/$N$16*$R$16</f>
        <v>0</v>
      </c>
      <c r="S132" s="76">
        <f t="shared" ref="S132:S135" si="32">T132/2</f>
        <v>0</v>
      </c>
      <c r="T132" s="76">
        <f t="shared" si="25"/>
        <v>0</v>
      </c>
      <c r="U132" s="73">
        <v>0</v>
      </c>
    </row>
    <row r="133" spans="5:21" s="10" customFormat="1" ht="22.5" hidden="1" customHeight="1" outlineLevel="2" x14ac:dyDescent="0.25">
      <c r="E133" s="457" t="s">
        <v>185</v>
      </c>
      <c r="F133" s="70" t="s">
        <v>186</v>
      </c>
      <c r="G133" s="71" t="s">
        <v>31</v>
      </c>
      <c r="H133" s="72"/>
      <c r="I133" s="74">
        <v>0</v>
      </c>
      <c r="J133" s="39"/>
      <c r="K133" s="42">
        <v>0</v>
      </c>
      <c r="L133" s="38">
        <v>0</v>
      </c>
      <c r="M133" s="39">
        <v>0</v>
      </c>
      <c r="N133" s="39">
        <v>0</v>
      </c>
      <c r="O133" s="39">
        <v>0</v>
      </c>
      <c r="P133" s="78">
        <v>0</v>
      </c>
      <c r="Q133" s="72">
        <v>0</v>
      </c>
      <c r="R133" s="74">
        <f>N133/$N$16*$R$16</f>
        <v>0</v>
      </c>
      <c r="S133" s="76">
        <f t="shared" si="32"/>
        <v>0</v>
      </c>
      <c r="T133" s="76">
        <f t="shared" si="25"/>
        <v>0</v>
      </c>
      <c r="U133" s="73">
        <f>N133*(1+$U$184)</f>
        <v>0</v>
      </c>
    </row>
    <row r="134" spans="5:21" s="10" customFormat="1" ht="22.5" hidden="1" customHeight="1" outlineLevel="2" x14ac:dyDescent="0.25">
      <c r="E134" s="457" t="s">
        <v>187</v>
      </c>
      <c r="F134" s="70" t="s">
        <v>188</v>
      </c>
      <c r="G134" s="71" t="s">
        <v>31</v>
      </c>
      <c r="H134" s="77"/>
      <c r="I134" s="74">
        <v>0</v>
      </c>
      <c r="J134" s="76"/>
      <c r="K134" s="78">
        <v>0</v>
      </c>
      <c r="L134" s="392">
        <v>0</v>
      </c>
      <c r="M134" s="76">
        <v>0</v>
      </c>
      <c r="N134" s="76">
        <v>0</v>
      </c>
      <c r="O134" s="76">
        <v>0</v>
      </c>
      <c r="P134" s="78">
        <v>0</v>
      </c>
      <c r="Q134" s="77">
        <v>0</v>
      </c>
      <c r="R134" s="74">
        <f>N134/$N$16*$R$16</f>
        <v>0</v>
      </c>
      <c r="S134" s="76">
        <f t="shared" si="32"/>
        <v>0</v>
      </c>
      <c r="T134" s="76">
        <f t="shared" si="25"/>
        <v>0</v>
      </c>
      <c r="U134" s="73">
        <f>N134*(1+$U$184)</f>
        <v>0</v>
      </c>
    </row>
    <row r="135" spans="5:21" s="10" customFormat="1" ht="22.5" hidden="1" customHeight="1" outlineLevel="2" x14ac:dyDescent="0.25">
      <c r="E135" s="457" t="s">
        <v>189</v>
      </c>
      <c r="F135" s="70" t="s">
        <v>190</v>
      </c>
      <c r="G135" s="71" t="s">
        <v>31</v>
      </c>
      <c r="H135" s="72"/>
      <c r="I135" s="74">
        <v>0</v>
      </c>
      <c r="J135" s="39"/>
      <c r="K135" s="42">
        <f>J135</f>
        <v>0</v>
      </c>
      <c r="L135" s="38">
        <v>0</v>
      </c>
      <c r="M135" s="39">
        <v>0</v>
      </c>
      <c r="N135" s="39">
        <v>0</v>
      </c>
      <c r="O135" s="39">
        <v>0</v>
      </c>
      <c r="P135" s="78">
        <v>0</v>
      </c>
      <c r="Q135" s="72">
        <v>0</v>
      </c>
      <c r="R135" s="74">
        <f>N135/$N$16*$R$16</f>
        <v>0</v>
      </c>
      <c r="S135" s="76">
        <f t="shared" si="32"/>
        <v>0</v>
      </c>
      <c r="T135" s="76">
        <f t="shared" si="25"/>
        <v>0</v>
      </c>
      <c r="U135" s="73">
        <v>0</v>
      </c>
    </row>
    <row r="136" spans="5:21" s="10" customFormat="1" ht="30" hidden="1" outlineLevel="1" collapsed="1" x14ac:dyDescent="0.25">
      <c r="E136" s="458" t="s">
        <v>191</v>
      </c>
      <c r="F136" s="70" t="s">
        <v>107</v>
      </c>
      <c r="G136" s="71" t="s">
        <v>31</v>
      </c>
      <c r="H136" s="388"/>
      <c r="I136" s="367">
        <v>0</v>
      </c>
      <c r="J136" s="93"/>
      <c r="K136" s="79">
        <f t="shared" ref="K136:T136" si="33">K137</f>
        <v>0</v>
      </c>
      <c r="L136" s="397">
        <v>0</v>
      </c>
      <c r="M136" s="93">
        <v>0</v>
      </c>
      <c r="N136" s="93">
        <v>0</v>
      </c>
      <c r="O136" s="93">
        <v>0</v>
      </c>
      <c r="P136" s="79">
        <v>0</v>
      </c>
      <c r="Q136" s="474">
        <f t="shared" si="33"/>
        <v>0</v>
      </c>
      <c r="R136" s="79">
        <f t="shared" si="33"/>
        <v>0</v>
      </c>
      <c r="S136" s="79">
        <f t="shared" si="33"/>
        <v>0</v>
      </c>
      <c r="T136" s="79">
        <f t="shared" si="33"/>
        <v>0</v>
      </c>
      <c r="U136" s="79">
        <f>U137</f>
        <v>0</v>
      </c>
    </row>
    <row r="137" spans="5:21" s="10" customFormat="1" ht="30" hidden="1" outlineLevel="2" x14ac:dyDescent="0.25">
      <c r="E137" s="457" t="s">
        <v>192</v>
      </c>
      <c r="F137" s="70" t="s">
        <v>193</v>
      </c>
      <c r="G137" s="71" t="s">
        <v>31</v>
      </c>
      <c r="H137" s="72"/>
      <c r="I137" s="74">
        <v>0</v>
      </c>
      <c r="J137" s="39"/>
      <c r="K137" s="42">
        <f>AA137</f>
        <v>0</v>
      </c>
      <c r="L137" s="38">
        <v>0</v>
      </c>
      <c r="M137" s="39">
        <v>0</v>
      </c>
      <c r="N137" s="39">
        <v>0</v>
      </c>
      <c r="O137" s="39">
        <v>0</v>
      </c>
      <c r="P137" s="78">
        <v>0</v>
      </c>
      <c r="Q137" s="72">
        <v>0</v>
      </c>
      <c r="R137" s="74">
        <f>N137/$N$16*$R$16</f>
        <v>0</v>
      </c>
      <c r="S137" s="76">
        <f t="shared" ref="S137:S139" si="34">T137/2</f>
        <v>0</v>
      </c>
      <c r="T137" s="76">
        <f t="shared" si="25"/>
        <v>0</v>
      </c>
      <c r="U137" s="73">
        <f>IF(Q137=0,0,I178*I20*0.02)</f>
        <v>0</v>
      </c>
    </row>
    <row r="138" spans="5:21" s="10" customFormat="1" ht="22.5" hidden="1" customHeight="1" outlineLevel="1" collapsed="1" x14ac:dyDescent="0.25">
      <c r="E138" s="457" t="s">
        <v>194</v>
      </c>
      <c r="F138" s="70" t="s">
        <v>195</v>
      </c>
      <c r="G138" s="71" t="s">
        <v>31</v>
      </c>
      <c r="H138" s="72"/>
      <c r="I138" s="74">
        <v>0</v>
      </c>
      <c r="J138" s="39"/>
      <c r="K138" s="42">
        <v>0</v>
      </c>
      <c r="L138" s="38">
        <v>0</v>
      </c>
      <c r="M138" s="39">
        <v>0</v>
      </c>
      <c r="N138" s="39">
        <v>0</v>
      </c>
      <c r="O138" s="39">
        <v>0</v>
      </c>
      <c r="P138" s="78">
        <v>0</v>
      </c>
      <c r="Q138" s="72">
        <v>0</v>
      </c>
      <c r="R138" s="74">
        <f>N138/$N$16*$R$16</f>
        <v>0</v>
      </c>
      <c r="S138" s="76">
        <f t="shared" si="34"/>
        <v>0</v>
      </c>
      <c r="T138" s="76">
        <f t="shared" si="25"/>
        <v>0</v>
      </c>
      <c r="U138" s="73">
        <f>N138*(1+$U$184)</f>
        <v>0</v>
      </c>
    </row>
    <row r="139" spans="5:21" s="10" customFormat="1" ht="19.5" hidden="1" outlineLevel="1" x14ac:dyDescent="0.25">
      <c r="E139" s="457" t="s">
        <v>196</v>
      </c>
      <c r="F139" s="70" t="s">
        <v>197</v>
      </c>
      <c r="G139" s="71" t="s">
        <v>31</v>
      </c>
      <c r="H139" s="72"/>
      <c r="I139" s="74">
        <v>0</v>
      </c>
      <c r="J139" s="39"/>
      <c r="K139" s="42">
        <f>J139</f>
        <v>0</v>
      </c>
      <c r="L139" s="38">
        <v>0</v>
      </c>
      <c r="M139" s="39">
        <v>0</v>
      </c>
      <c r="N139" s="39">
        <v>0</v>
      </c>
      <c r="O139" s="39">
        <v>0</v>
      </c>
      <c r="P139" s="78">
        <v>0</v>
      </c>
      <c r="Q139" s="72">
        <v>0</v>
      </c>
      <c r="R139" s="74">
        <f>N139/$N$16*$R$16</f>
        <v>0</v>
      </c>
      <c r="S139" s="76">
        <f t="shared" si="34"/>
        <v>0</v>
      </c>
      <c r="T139" s="76">
        <f t="shared" si="25"/>
        <v>0</v>
      </c>
      <c r="U139" s="73">
        <f>K139*1.058*1.072</f>
        <v>0</v>
      </c>
    </row>
    <row r="140" spans="5:21" s="10" customFormat="1" ht="30" hidden="1" outlineLevel="1" collapsed="1" x14ac:dyDescent="0.25">
      <c r="E140" s="457" t="s">
        <v>198</v>
      </c>
      <c r="F140" s="70" t="s">
        <v>199</v>
      </c>
      <c r="G140" s="71" t="s">
        <v>31</v>
      </c>
      <c r="H140" s="72"/>
      <c r="I140" s="74">
        <v>0</v>
      </c>
      <c r="J140" s="39"/>
      <c r="K140" s="42">
        <v>0</v>
      </c>
      <c r="L140" s="38">
        <v>0</v>
      </c>
      <c r="M140" s="39">
        <v>0</v>
      </c>
      <c r="N140" s="39">
        <v>0</v>
      </c>
      <c r="O140" s="39">
        <v>0</v>
      </c>
      <c r="P140" s="78">
        <v>0</v>
      </c>
      <c r="Q140" s="72">
        <v>0</v>
      </c>
      <c r="R140" s="74">
        <f>R141+R142</f>
        <v>0</v>
      </c>
      <c r="S140" s="39">
        <f>S141+S142</f>
        <v>0</v>
      </c>
      <c r="T140" s="76">
        <f>T141+T142</f>
        <v>0</v>
      </c>
      <c r="U140" s="73">
        <f>U141</f>
        <v>0</v>
      </c>
    </row>
    <row r="141" spans="5:21" s="10" customFormat="1" ht="60" hidden="1" outlineLevel="2" x14ac:dyDescent="0.25">
      <c r="E141" s="457" t="s">
        <v>200</v>
      </c>
      <c r="F141" s="70" t="s">
        <v>201</v>
      </c>
      <c r="G141" s="71" t="s">
        <v>31</v>
      </c>
      <c r="H141" s="72"/>
      <c r="I141" s="74">
        <v>0</v>
      </c>
      <c r="J141" s="39"/>
      <c r="K141" s="42"/>
      <c r="L141" s="38">
        <v>0</v>
      </c>
      <c r="M141" s="39">
        <v>0</v>
      </c>
      <c r="N141" s="39">
        <v>0</v>
      </c>
      <c r="O141" s="39">
        <v>0</v>
      </c>
      <c r="P141" s="78">
        <v>0</v>
      </c>
      <c r="Q141" s="72">
        <v>0</v>
      </c>
      <c r="R141" s="74">
        <f>N141/$N$16*$R$16</f>
        <v>0</v>
      </c>
      <c r="S141" s="76">
        <f t="shared" ref="S141:S142" si="35">T141/2</f>
        <v>0</v>
      </c>
      <c r="T141" s="76">
        <f t="shared" si="25"/>
        <v>0</v>
      </c>
      <c r="U141" s="73">
        <f>N141*(1+$U$184)</f>
        <v>0</v>
      </c>
    </row>
    <row r="142" spans="5:21" s="10" customFormat="1" ht="30" hidden="1" customHeight="1" outlineLevel="2" x14ac:dyDescent="0.25">
      <c r="E142" s="457" t="s">
        <v>202</v>
      </c>
      <c r="F142" s="70" t="s">
        <v>203</v>
      </c>
      <c r="G142" s="71" t="s">
        <v>31</v>
      </c>
      <c r="H142" s="72"/>
      <c r="I142" s="74">
        <v>0</v>
      </c>
      <c r="J142" s="39"/>
      <c r="K142" s="42"/>
      <c r="L142" s="38">
        <v>0</v>
      </c>
      <c r="M142" s="39">
        <v>0</v>
      </c>
      <c r="N142" s="39">
        <v>0</v>
      </c>
      <c r="O142" s="39">
        <v>0</v>
      </c>
      <c r="P142" s="78">
        <v>0</v>
      </c>
      <c r="Q142" s="72">
        <v>0</v>
      </c>
      <c r="R142" s="74">
        <f>N142/$N$16*$R$16</f>
        <v>0</v>
      </c>
      <c r="S142" s="76">
        <f t="shared" si="35"/>
        <v>0</v>
      </c>
      <c r="T142" s="76">
        <f t="shared" si="25"/>
        <v>0</v>
      </c>
      <c r="U142" s="73">
        <f>N142*(1+$U$184)</f>
        <v>0</v>
      </c>
    </row>
    <row r="143" spans="5:21" s="10" customFormat="1" ht="19.5" hidden="1" outlineLevel="1" collapsed="1" x14ac:dyDescent="0.25">
      <c r="E143" s="457" t="s">
        <v>204</v>
      </c>
      <c r="F143" s="70" t="s">
        <v>205</v>
      </c>
      <c r="G143" s="71" t="s">
        <v>31</v>
      </c>
      <c r="H143" s="77"/>
      <c r="I143" s="74">
        <v>0</v>
      </c>
      <c r="J143" s="76"/>
      <c r="K143" s="78">
        <f t="shared" ref="K143:T143" si="36">K144+K145</f>
        <v>0</v>
      </c>
      <c r="L143" s="392">
        <v>0</v>
      </c>
      <c r="M143" s="76">
        <v>0</v>
      </c>
      <c r="N143" s="76">
        <v>0</v>
      </c>
      <c r="O143" s="76">
        <v>0</v>
      </c>
      <c r="P143" s="78">
        <v>0</v>
      </c>
      <c r="Q143" s="475">
        <f t="shared" si="36"/>
        <v>0</v>
      </c>
      <c r="R143" s="78">
        <f t="shared" si="36"/>
        <v>0</v>
      </c>
      <c r="S143" s="78">
        <f t="shared" si="36"/>
        <v>0</v>
      </c>
      <c r="T143" s="78">
        <f t="shared" si="36"/>
        <v>0</v>
      </c>
      <c r="U143" s="78">
        <f>U144+U145</f>
        <v>0</v>
      </c>
    </row>
    <row r="144" spans="5:21" s="10" customFormat="1" ht="22.5" hidden="1" customHeight="1" outlineLevel="2" x14ac:dyDescent="0.25">
      <c r="E144" s="457" t="s">
        <v>206</v>
      </c>
      <c r="F144" s="70" t="s">
        <v>207</v>
      </c>
      <c r="G144" s="71" t="s">
        <v>31</v>
      </c>
      <c r="H144" s="72"/>
      <c r="I144" s="74">
        <v>0</v>
      </c>
      <c r="J144" s="39"/>
      <c r="K144" s="42">
        <v>0</v>
      </c>
      <c r="L144" s="38">
        <v>0</v>
      </c>
      <c r="M144" s="39">
        <v>0</v>
      </c>
      <c r="N144" s="39">
        <v>0</v>
      </c>
      <c r="O144" s="39">
        <v>0</v>
      </c>
      <c r="P144" s="78">
        <v>0</v>
      </c>
      <c r="Q144" s="72">
        <v>0</v>
      </c>
      <c r="R144" s="74">
        <f>N144/$N$16*$R$16</f>
        <v>0</v>
      </c>
      <c r="S144" s="76">
        <f t="shared" ref="S144:S146" si="37">T144/2</f>
        <v>0</v>
      </c>
      <c r="T144" s="76">
        <f t="shared" si="25"/>
        <v>0</v>
      </c>
      <c r="U144" s="73">
        <f>N144*(1+$U$184)</f>
        <v>0</v>
      </c>
    </row>
    <row r="145" spans="5:28" s="10" customFormat="1" ht="22.5" hidden="1" customHeight="1" outlineLevel="2" x14ac:dyDescent="0.25">
      <c r="E145" s="457" t="s">
        <v>208</v>
      </c>
      <c r="F145" s="70" t="s">
        <v>209</v>
      </c>
      <c r="G145" s="71" t="s">
        <v>31</v>
      </c>
      <c r="H145" s="72"/>
      <c r="I145" s="74">
        <v>0</v>
      </c>
      <c r="J145" s="39"/>
      <c r="K145" s="42">
        <v>0</v>
      </c>
      <c r="L145" s="38">
        <v>0</v>
      </c>
      <c r="M145" s="39">
        <v>0</v>
      </c>
      <c r="N145" s="39">
        <v>0</v>
      </c>
      <c r="O145" s="39">
        <v>0</v>
      </c>
      <c r="P145" s="78">
        <v>0</v>
      </c>
      <c r="Q145" s="72">
        <v>0</v>
      </c>
      <c r="R145" s="74">
        <f>N145/$N$16*$R$16</f>
        <v>0</v>
      </c>
      <c r="S145" s="76">
        <f t="shared" si="37"/>
        <v>0</v>
      </c>
      <c r="T145" s="76">
        <f t="shared" si="25"/>
        <v>0</v>
      </c>
      <c r="U145" s="73">
        <f>N145*(1+$U$184)</f>
        <v>0</v>
      </c>
      <c r="Y145" s="15"/>
    </row>
    <row r="146" spans="5:28" s="10" customFormat="1" ht="22.5" hidden="1" customHeight="1" outlineLevel="2" x14ac:dyDescent="0.25">
      <c r="E146" s="457" t="s">
        <v>210</v>
      </c>
      <c r="F146" s="70" t="s">
        <v>33</v>
      </c>
      <c r="G146" s="71" t="s">
        <v>31</v>
      </c>
      <c r="H146" s="72"/>
      <c r="I146" s="74">
        <v>0</v>
      </c>
      <c r="J146" s="39"/>
      <c r="K146" s="42">
        <v>0</v>
      </c>
      <c r="L146" s="38">
        <v>0</v>
      </c>
      <c r="M146" s="39">
        <v>0</v>
      </c>
      <c r="N146" s="39">
        <v>0</v>
      </c>
      <c r="O146" s="39">
        <v>0</v>
      </c>
      <c r="P146" s="78">
        <v>0</v>
      </c>
      <c r="Q146" s="72">
        <v>0</v>
      </c>
      <c r="R146" s="74">
        <f>N146/$N$16*$R$16</f>
        <v>0</v>
      </c>
      <c r="S146" s="76">
        <f t="shared" si="37"/>
        <v>0</v>
      </c>
      <c r="T146" s="76">
        <f t="shared" si="25"/>
        <v>0</v>
      </c>
      <c r="U146" s="73">
        <v>0</v>
      </c>
      <c r="V146" s="15"/>
      <c r="W146" s="15"/>
      <c r="X146" s="15"/>
      <c r="Y146" s="15"/>
    </row>
    <row r="147" spans="5:28" s="10" customFormat="1" ht="22.5" customHeight="1" x14ac:dyDescent="0.25">
      <c r="E147" s="118">
        <v>4</v>
      </c>
      <c r="F147" s="95" t="s">
        <v>211</v>
      </c>
      <c r="G147" s="96" t="s">
        <v>31</v>
      </c>
      <c r="H147" s="387"/>
      <c r="I147" s="366">
        <v>27.922915285487999</v>
      </c>
      <c r="J147" s="363">
        <v>27.922920000000001</v>
      </c>
      <c r="K147" s="115">
        <f t="shared" ref="K147:T147" si="38">K148</f>
        <v>27.922920000000001</v>
      </c>
      <c r="L147" s="396">
        <v>13.96</v>
      </c>
      <c r="M147" s="363">
        <v>13.962919999999997</v>
      </c>
      <c r="N147" s="363">
        <v>27.925839999999994</v>
      </c>
      <c r="O147" s="363">
        <v>27.922919999999998</v>
      </c>
      <c r="P147" s="115">
        <v>27.922919999999998</v>
      </c>
      <c r="Q147" s="473">
        <f t="shared" si="38"/>
        <v>27.92</v>
      </c>
      <c r="R147" s="115">
        <f t="shared" si="38"/>
        <v>13.962919999999997</v>
      </c>
      <c r="S147" s="115">
        <f t="shared" si="38"/>
        <v>13.96</v>
      </c>
      <c r="T147" s="115">
        <f t="shared" si="38"/>
        <v>27.92</v>
      </c>
      <c r="U147" s="115">
        <f>U148</f>
        <v>27.922919999999998</v>
      </c>
      <c r="V147" s="119"/>
      <c r="W147" s="119"/>
      <c r="X147" s="119"/>
      <c r="Y147" s="119"/>
      <c r="Z147" s="119"/>
      <c r="AA147" s="119"/>
    </row>
    <row r="148" spans="5:28" s="10" customFormat="1" ht="60" customHeight="1" outlineLevel="1" x14ac:dyDescent="0.25">
      <c r="E148" s="457" t="s">
        <v>212</v>
      </c>
      <c r="F148" s="70" t="s">
        <v>213</v>
      </c>
      <c r="G148" s="71" t="s">
        <v>31</v>
      </c>
      <c r="H148" s="77"/>
      <c r="I148" s="74">
        <v>27.922915285487999</v>
      </c>
      <c r="J148" s="76">
        <v>27.922920000000001</v>
      </c>
      <c r="K148" s="78">
        <f>J148</f>
        <v>27.922920000000001</v>
      </c>
      <c r="L148" s="392">
        <v>13.96</v>
      </c>
      <c r="M148" s="76">
        <v>13.962919999999997</v>
      </c>
      <c r="N148" s="76">
        <v>27.925839999999994</v>
      </c>
      <c r="O148" s="76">
        <v>27.922919999999998</v>
      </c>
      <c r="P148" s="78">
        <v>27.922919999999998</v>
      </c>
      <c r="Q148" s="77">
        <v>27.92</v>
      </c>
      <c r="R148" s="74">
        <f>N148/$N$16*$R$16</f>
        <v>13.962919999999997</v>
      </c>
      <c r="S148" s="76">
        <f>T148/2</f>
        <v>13.96</v>
      </c>
      <c r="T148" s="76">
        <f t="shared" si="25"/>
        <v>27.92</v>
      </c>
      <c r="U148" s="73">
        <f>L214/1000</f>
        <v>27.922919999999998</v>
      </c>
      <c r="V148" s="119"/>
      <c r="W148" s="622"/>
      <c r="X148" s="622"/>
      <c r="Y148" s="622"/>
      <c r="Z148" s="622"/>
      <c r="AA148" s="119"/>
    </row>
    <row r="149" spans="5:28" s="10" customFormat="1" ht="22.5" customHeight="1" x14ac:dyDescent="0.25">
      <c r="E149" s="118">
        <v>5</v>
      </c>
      <c r="F149" s="95" t="s">
        <v>214</v>
      </c>
      <c r="G149" s="96" t="s">
        <v>31</v>
      </c>
      <c r="H149" s="97"/>
      <c r="I149" s="98">
        <v>0</v>
      </c>
      <c r="J149" s="99">
        <f t="shared" ref="J149:U149" si="39">J150+J151</f>
        <v>0</v>
      </c>
      <c r="K149" s="100">
        <f t="shared" si="39"/>
        <v>0</v>
      </c>
      <c r="L149" s="395">
        <v>0</v>
      </c>
      <c r="M149" s="99">
        <v>0</v>
      </c>
      <c r="N149" s="99">
        <v>0</v>
      </c>
      <c r="O149" s="99">
        <v>0</v>
      </c>
      <c r="P149" s="100">
        <v>0</v>
      </c>
      <c r="Q149" s="476">
        <f t="shared" si="39"/>
        <v>0</v>
      </c>
      <c r="R149" s="100">
        <f t="shared" si="39"/>
        <v>0</v>
      </c>
      <c r="S149" s="100">
        <f t="shared" si="39"/>
        <v>0</v>
      </c>
      <c r="T149" s="100">
        <f t="shared" si="39"/>
        <v>0</v>
      </c>
      <c r="U149" s="100">
        <f t="shared" si="39"/>
        <v>0</v>
      </c>
      <c r="V149" s="119"/>
      <c r="W149" s="119"/>
      <c r="X149" s="119"/>
      <c r="Y149" s="119"/>
      <c r="Z149" s="119"/>
      <c r="AA149" s="119"/>
    </row>
    <row r="150" spans="5:28" s="10" customFormat="1" ht="22.5" hidden="1" customHeight="1" outlineLevel="1" x14ac:dyDescent="0.25">
      <c r="E150" s="457" t="s">
        <v>215</v>
      </c>
      <c r="F150" s="70" t="s">
        <v>216</v>
      </c>
      <c r="G150" s="71" t="s">
        <v>31</v>
      </c>
      <c r="H150" s="77"/>
      <c r="I150" s="74"/>
      <c r="J150" s="76">
        <v>0</v>
      </c>
      <c r="K150" s="78">
        <v>0</v>
      </c>
      <c r="L150" s="392">
        <v>0</v>
      </c>
      <c r="M150" s="76">
        <v>0</v>
      </c>
      <c r="N150" s="76">
        <v>0</v>
      </c>
      <c r="O150" s="76">
        <v>0</v>
      </c>
      <c r="P150" s="78">
        <v>0</v>
      </c>
      <c r="Q150" s="77">
        <v>0</v>
      </c>
      <c r="R150" s="74">
        <f>N150/$N$16*$R$16</f>
        <v>0</v>
      </c>
      <c r="S150" s="76">
        <f>T150/2</f>
        <v>0</v>
      </c>
      <c r="T150" s="76">
        <f t="shared" si="25"/>
        <v>0</v>
      </c>
      <c r="U150" s="76">
        <v>0</v>
      </c>
      <c r="V150" s="119"/>
      <c r="W150" s="119"/>
      <c r="X150" s="119"/>
      <c r="Y150" s="119"/>
      <c r="Z150" s="119"/>
      <c r="AA150" s="119"/>
    </row>
    <row r="151" spans="5:28" s="10" customFormat="1" ht="45" hidden="1" outlineLevel="1" x14ac:dyDescent="0.25">
      <c r="E151" s="457" t="s">
        <v>217</v>
      </c>
      <c r="F151" s="70" t="s">
        <v>218</v>
      </c>
      <c r="G151" s="71" t="s">
        <v>31</v>
      </c>
      <c r="H151" s="77"/>
      <c r="I151" s="74"/>
      <c r="J151" s="76">
        <v>0</v>
      </c>
      <c r="K151" s="78">
        <v>0</v>
      </c>
      <c r="L151" s="392">
        <v>0</v>
      </c>
      <c r="M151" s="76">
        <v>0</v>
      </c>
      <c r="N151" s="76">
        <v>0</v>
      </c>
      <c r="O151" s="76">
        <v>0</v>
      </c>
      <c r="P151" s="368">
        <v>0</v>
      </c>
      <c r="Q151" s="77">
        <v>0</v>
      </c>
      <c r="R151" s="74">
        <f>N151/$N$16*$R$16</f>
        <v>0</v>
      </c>
      <c r="S151" s="76">
        <f t="shared" ref="S151:S169" si="40">T151/2</f>
        <v>0</v>
      </c>
      <c r="T151" s="76">
        <f t="shared" si="25"/>
        <v>0</v>
      </c>
      <c r="U151" s="78">
        <v>0</v>
      </c>
      <c r="V151" s="119"/>
      <c r="W151" s="119"/>
      <c r="X151" s="119"/>
      <c r="Y151" s="119"/>
      <c r="Z151" s="119"/>
      <c r="AA151" s="119"/>
    </row>
    <row r="152" spans="5:28" s="106" customFormat="1" ht="30" collapsed="1" x14ac:dyDescent="0.25">
      <c r="E152" s="26" t="s">
        <v>219</v>
      </c>
      <c r="F152" s="95" t="s">
        <v>220</v>
      </c>
      <c r="G152" s="96" t="s">
        <v>31</v>
      </c>
      <c r="H152" s="97"/>
      <c r="I152" s="98">
        <v>0</v>
      </c>
      <c r="J152" s="99">
        <v>0</v>
      </c>
      <c r="K152" s="121">
        <f>IF(I152=0,0,(K24+K73+K111+K123-K124+K131+K138+K139+K140+K149+K150+K146)*0.05)</f>
        <v>0</v>
      </c>
      <c r="L152" s="398">
        <v>0</v>
      </c>
      <c r="M152" s="120">
        <v>0</v>
      </c>
      <c r="N152" s="99">
        <v>0</v>
      </c>
      <c r="O152" s="99">
        <v>0</v>
      </c>
      <c r="P152" s="99">
        <v>0</v>
      </c>
      <c r="Q152" s="97">
        <v>0</v>
      </c>
      <c r="R152" s="98">
        <f>N152/$N$16*$R$16</f>
        <v>0</v>
      </c>
      <c r="S152" s="99">
        <f t="shared" si="40"/>
        <v>0</v>
      </c>
      <c r="T152" s="99">
        <f t="shared" si="25"/>
        <v>0</v>
      </c>
      <c r="U152" s="121">
        <f>IF(N152=0,0,(U24+U73+U111+U123-U124+U131+U138+U139+U140+U149+U150+U146)*0.05)</f>
        <v>0</v>
      </c>
    </row>
    <row r="153" spans="5:28" s="106" customFormat="1" ht="24.75" customHeight="1" x14ac:dyDescent="0.25">
      <c r="E153" s="26" t="s">
        <v>221</v>
      </c>
      <c r="F153" s="124" t="s">
        <v>519</v>
      </c>
      <c r="G153" s="96" t="s">
        <v>31</v>
      </c>
      <c r="H153" s="97">
        <f>H154+H155+H156+H157+H158+H167+H174+H173+H172</f>
        <v>0</v>
      </c>
      <c r="I153" s="98">
        <f t="shared" ref="I153:U153" si="41">I154+I155+I156+I157+I158+I167+I174+I173+I172</f>
        <v>-43.806149407020555</v>
      </c>
      <c r="J153" s="99">
        <f t="shared" si="41"/>
        <v>0</v>
      </c>
      <c r="K153" s="100">
        <f t="shared" si="41"/>
        <v>-43.806149407020555</v>
      </c>
      <c r="L153" s="395">
        <f t="shared" si="41"/>
        <v>-221.51999999999995</v>
      </c>
      <c r="M153" s="99">
        <f t="shared" si="41"/>
        <v>-25.575368129641078</v>
      </c>
      <c r="N153" s="99">
        <f t="shared" si="41"/>
        <v>-51.150736259282155</v>
      </c>
      <c r="O153" s="99">
        <f t="shared" si="41"/>
        <v>-247.09536812964103</v>
      </c>
      <c r="P153" s="100">
        <f t="shared" si="41"/>
        <v>58.666666666666664</v>
      </c>
      <c r="Q153" s="476">
        <f t="shared" si="41"/>
        <v>0</v>
      </c>
      <c r="R153" s="100">
        <f t="shared" si="41"/>
        <v>-16.350000000000001</v>
      </c>
      <c r="S153" s="100">
        <f t="shared" si="41"/>
        <v>67.789531867673816</v>
      </c>
      <c r="T153" s="100">
        <f t="shared" si="41"/>
        <v>135.57906373534763</v>
      </c>
      <c r="U153" s="100">
        <f t="shared" si="41"/>
        <v>51.439531867673814</v>
      </c>
      <c r="Y153" s="10"/>
      <c r="Z153" s="10"/>
      <c r="AA153" s="10"/>
      <c r="AB153" s="10"/>
    </row>
    <row r="154" spans="5:28" s="10" customFormat="1" ht="32.25" hidden="1" customHeight="1" outlineLevel="1" x14ac:dyDescent="0.25">
      <c r="E154" s="457" t="s">
        <v>223</v>
      </c>
      <c r="F154" s="424" t="s">
        <v>521</v>
      </c>
      <c r="G154" s="71" t="s">
        <v>31</v>
      </c>
      <c r="H154" s="72"/>
      <c r="I154" s="74"/>
      <c r="J154" s="39"/>
      <c r="K154" s="42"/>
      <c r="L154" s="38"/>
      <c r="M154" s="39"/>
      <c r="N154" s="39"/>
      <c r="O154" s="39"/>
      <c r="P154" s="42"/>
      <c r="Q154" s="72"/>
      <c r="R154" s="74"/>
      <c r="S154" s="76"/>
      <c r="T154" s="76"/>
      <c r="U154" s="73"/>
      <c r="V154" s="106"/>
      <c r="W154" s="106"/>
      <c r="X154" s="106"/>
    </row>
    <row r="155" spans="5:28" s="10" customFormat="1" ht="32.25" hidden="1" customHeight="1" outlineLevel="1" x14ac:dyDescent="0.25">
      <c r="E155" s="457" t="s">
        <v>225</v>
      </c>
      <c r="F155" s="424" t="s">
        <v>226</v>
      </c>
      <c r="G155" s="71" t="s">
        <v>31</v>
      </c>
      <c r="H155" s="72"/>
      <c r="I155" s="74"/>
      <c r="J155" s="39"/>
      <c r="K155" s="42"/>
      <c r="L155" s="38"/>
      <c r="M155" s="39"/>
      <c r="N155" s="39"/>
      <c r="O155" s="39"/>
      <c r="P155" s="42"/>
      <c r="Q155" s="72"/>
      <c r="R155" s="74"/>
      <c r="S155" s="76"/>
      <c r="T155" s="76"/>
      <c r="U155" s="73"/>
      <c r="V155" s="106"/>
      <c r="W155" s="106"/>
      <c r="X155" s="106"/>
    </row>
    <row r="156" spans="5:28" s="10" customFormat="1" ht="32.25" hidden="1" customHeight="1" outlineLevel="1" x14ac:dyDescent="0.25">
      <c r="E156" s="457" t="s">
        <v>227</v>
      </c>
      <c r="F156" s="424" t="s">
        <v>512</v>
      </c>
      <c r="G156" s="71" t="s">
        <v>31</v>
      </c>
      <c r="H156" s="72"/>
      <c r="I156" s="74"/>
      <c r="J156" s="39"/>
      <c r="K156" s="42"/>
      <c r="L156" s="38"/>
      <c r="M156" s="39"/>
      <c r="N156" s="39"/>
      <c r="O156" s="39"/>
      <c r="P156" s="42"/>
      <c r="Q156" s="72"/>
      <c r="R156" s="74"/>
      <c r="S156" s="76"/>
      <c r="T156" s="76"/>
      <c r="U156" s="73"/>
      <c r="V156" s="106"/>
      <c r="W156" s="106"/>
      <c r="X156" s="106"/>
    </row>
    <row r="157" spans="5:28" s="10" customFormat="1" ht="32.25" hidden="1" customHeight="1" outlineLevel="1" x14ac:dyDescent="0.25">
      <c r="E157" s="457" t="s">
        <v>229</v>
      </c>
      <c r="F157" s="424" t="s">
        <v>230</v>
      </c>
      <c r="G157" s="71" t="s">
        <v>31</v>
      </c>
      <c r="H157" s="72"/>
      <c r="I157" s="74"/>
      <c r="J157" s="39"/>
      <c r="K157" s="42"/>
      <c r="L157" s="38"/>
      <c r="M157" s="39"/>
      <c r="N157" s="39"/>
      <c r="O157" s="39"/>
      <c r="P157" s="42"/>
      <c r="Q157" s="72"/>
      <c r="R157" s="74"/>
      <c r="S157" s="76"/>
      <c r="T157" s="76"/>
      <c r="U157" s="73"/>
      <c r="V157" s="106"/>
      <c r="W157" s="106"/>
      <c r="X157" s="106"/>
    </row>
    <row r="158" spans="5:28" s="106" customFormat="1" ht="24.75" customHeight="1" collapsed="1" x14ac:dyDescent="0.25">
      <c r="E158" s="26"/>
      <c r="F158" s="124" t="s">
        <v>520</v>
      </c>
      <c r="G158" s="96" t="s">
        <v>31</v>
      </c>
      <c r="H158" s="97">
        <f>SUM(H159:H166)</f>
        <v>0</v>
      </c>
      <c r="I158" s="98">
        <f t="shared" ref="I158:U158" si="42">SUM(I159:I166)</f>
        <v>-30.197493971016151</v>
      </c>
      <c r="J158" s="99">
        <f t="shared" si="42"/>
        <v>0</v>
      </c>
      <c r="K158" s="100">
        <f t="shared" si="42"/>
        <v>-30.197493971016151</v>
      </c>
      <c r="L158" s="395">
        <f t="shared" si="42"/>
        <v>0</v>
      </c>
      <c r="M158" s="99">
        <f t="shared" si="42"/>
        <v>-45.3</v>
      </c>
      <c r="N158" s="99">
        <f t="shared" si="42"/>
        <v>-90.6</v>
      </c>
      <c r="O158" s="99">
        <f t="shared" si="42"/>
        <v>-45.3</v>
      </c>
      <c r="P158" s="100">
        <f t="shared" si="42"/>
        <v>0</v>
      </c>
      <c r="Q158" s="476">
        <f t="shared" si="42"/>
        <v>0</v>
      </c>
      <c r="R158" s="100">
        <f t="shared" si="42"/>
        <v>0</v>
      </c>
      <c r="S158" s="100">
        <f t="shared" si="42"/>
        <v>0</v>
      </c>
      <c r="T158" s="100">
        <f t="shared" si="42"/>
        <v>0</v>
      </c>
      <c r="U158" s="100">
        <f t="shared" si="42"/>
        <v>0</v>
      </c>
      <c r="Y158" s="10"/>
      <c r="Z158" s="10"/>
      <c r="AA158" s="10"/>
      <c r="AB158" s="10"/>
    </row>
    <row r="159" spans="5:28" s="10" customFormat="1" ht="20.25" hidden="1" customHeight="1" outlineLevel="1" x14ac:dyDescent="0.25">
      <c r="E159" s="457" t="s">
        <v>231</v>
      </c>
      <c r="F159" s="424" t="s">
        <v>232</v>
      </c>
      <c r="G159" s="71" t="s">
        <v>31</v>
      </c>
      <c r="H159" s="72"/>
      <c r="I159" s="74"/>
      <c r="J159" s="39">
        <v>0</v>
      </c>
      <c r="K159" s="42">
        <v>0</v>
      </c>
      <c r="L159" s="38"/>
      <c r="M159" s="39"/>
      <c r="N159" s="39"/>
      <c r="O159" s="39"/>
      <c r="P159" s="42">
        <v>0</v>
      </c>
      <c r="Q159" s="72">
        <v>0</v>
      </c>
      <c r="R159" s="74">
        <f t="shared" ref="R159:R165" si="43">N159/$N$16*$R$16</f>
        <v>0</v>
      </c>
      <c r="S159" s="76">
        <f t="shared" si="40"/>
        <v>0</v>
      </c>
      <c r="T159" s="76">
        <f t="shared" ref="T159:T169" si="44">(U159-R159)*2</f>
        <v>0</v>
      </c>
      <c r="U159" s="73">
        <v>0</v>
      </c>
    </row>
    <row r="160" spans="5:28" s="10" customFormat="1" ht="20.25" hidden="1" customHeight="1" outlineLevel="1" x14ac:dyDescent="0.25">
      <c r="E160" s="457" t="s">
        <v>233</v>
      </c>
      <c r="F160" s="424" t="s">
        <v>234</v>
      </c>
      <c r="G160" s="71" t="s">
        <v>31</v>
      </c>
      <c r="H160" s="72"/>
      <c r="I160" s="74"/>
      <c r="J160" s="39">
        <v>0</v>
      </c>
      <c r="K160" s="42">
        <v>0</v>
      </c>
      <c r="L160" s="38"/>
      <c r="M160" s="39"/>
      <c r="N160" s="39"/>
      <c r="O160" s="39"/>
      <c r="P160" s="42">
        <v>0</v>
      </c>
      <c r="Q160" s="72">
        <v>0</v>
      </c>
      <c r="R160" s="74">
        <f t="shared" si="43"/>
        <v>0</v>
      </c>
      <c r="S160" s="76">
        <f t="shared" si="40"/>
        <v>0</v>
      </c>
      <c r="T160" s="76">
        <f t="shared" si="44"/>
        <v>0</v>
      </c>
      <c r="U160" s="73">
        <v>0</v>
      </c>
    </row>
    <row r="161" spans="5:29" s="10" customFormat="1" ht="20.25" hidden="1" customHeight="1" outlineLevel="1" x14ac:dyDescent="0.25">
      <c r="E161" s="457" t="s">
        <v>235</v>
      </c>
      <c r="F161" s="424" t="s">
        <v>236</v>
      </c>
      <c r="G161" s="71" t="s">
        <v>31</v>
      </c>
      <c r="H161" s="72"/>
      <c r="I161" s="74"/>
      <c r="J161" s="39">
        <v>0</v>
      </c>
      <c r="K161" s="42">
        <f t="shared" ref="K161" si="45">I161</f>
        <v>0</v>
      </c>
      <c r="L161" s="38"/>
      <c r="M161" s="39"/>
      <c r="N161" s="39"/>
      <c r="O161" s="39"/>
      <c r="P161" s="42">
        <v>0</v>
      </c>
      <c r="Q161" s="72">
        <v>0</v>
      </c>
      <c r="R161" s="74">
        <f t="shared" si="43"/>
        <v>0</v>
      </c>
      <c r="S161" s="76">
        <f t="shared" si="40"/>
        <v>0</v>
      </c>
      <c r="T161" s="76">
        <f t="shared" si="44"/>
        <v>0</v>
      </c>
      <c r="U161" s="73">
        <v>0</v>
      </c>
    </row>
    <row r="162" spans="5:29" s="10" customFormat="1" ht="20.25" hidden="1" customHeight="1" outlineLevel="1" x14ac:dyDescent="0.25">
      <c r="E162" s="457" t="s">
        <v>240</v>
      </c>
      <c r="F162" s="424" t="s">
        <v>238</v>
      </c>
      <c r="G162" s="71" t="s">
        <v>31</v>
      </c>
      <c r="H162" s="72"/>
      <c r="I162" s="74"/>
      <c r="J162" s="39">
        <v>0</v>
      </c>
      <c r="K162" s="42">
        <f t="shared" ref="K162:K169" si="46">I162</f>
        <v>0</v>
      </c>
      <c r="L162" s="38"/>
      <c r="M162" s="39"/>
      <c r="N162" s="39"/>
      <c r="O162" s="39"/>
      <c r="P162" s="42">
        <v>0</v>
      </c>
      <c r="Q162" s="72">
        <v>0</v>
      </c>
      <c r="R162" s="74">
        <f t="shared" si="43"/>
        <v>0</v>
      </c>
      <c r="S162" s="76">
        <f>T162/2</f>
        <v>0</v>
      </c>
      <c r="T162" s="76">
        <f t="shared" si="44"/>
        <v>0</v>
      </c>
      <c r="U162" s="73">
        <v>0</v>
      </c>
      <c r="V162" s="34"/>
    </row>
    <row r="163" spans="5:29" s="10" customFormat="1" ht="20.25" hidden="1" customHeight="1" outlineLevel="1" x14ac:dyDescent="0.25">
      <c r="E163" s="457" t="s">
        <v>241</v>
      </c>
      <c r="F163" s="424" t="s">
        <v>242</v>
      </c>
      <c r="G163" s="71" t="s">
        <v>31</v>
      </c>
      <c r="H163" s="72"/>
      <c r="I163" s="74"/>
      <c r="J163" s="39">
        <v>0</v>
      </c>
      <c r="K163" s="42">
        <f t="shared" si="46"/>
        <v>0</v>
      </c>
      <c r="L163" s="38"/>
      <c r="M163" s="39"/>
      <c r="N163" s="39"/>
      <c r="O163" s="39"/>
      <c r="P163" s="42">
        <v>0</v>
      </c>
      <c r="Q163" s="72">
        <v>0</v>
      </c>
      <c r="R163" s="74">
        <f t="shared" si="43"/>
        <v>0</v>
      </c>
      <c r="S163" s="76">
        <f t="shared" si="40"/>
        <v>0</v>
      </c>
      <c r="T163" s="76">
        <f t="shared" si="44"/>
        <v>0</v>
      </c>
      <c r="U163" s="73">
        <v>0</v>
      </c>
      <c r="V163" s="34"/>
    </row>
    <row r="164" spans="5:29" s="10" customFormat="1" ht="20.25" customHeight="1" outlineLevel="1" x14ac:dyDescent="0.25">
      <c r="E164" s="457" t="s">
        <v>243</v>
      </c>
      <c r="F164" s="424" t="s">
        <v>244</v>
      </c>
      <c r="G164" s="71" t="s">
        <v>31</v>
      </c>
      <c r="H164" s="72"/>
      <c r="I164" s="74">
        <v>-30.197493971016151</v>
      </c>
      <c r="J164" s="39">
        <v>0</v>
      </c>
      <c r="K164" s="42">
        <f t="shared" si="46"/>
        <v>-30.197493971016151</v>
      </c>
      <c r="L164" s="38">
        <v>0</v>
      </c>
      <c r="M164" s="39">
        <v>-45.3</v>
      </c>
      <c r="N164" s="39">
        <v>-90.6</v>
      </c>
      <c r="O164" s="39">
        <v>-45.3</v>
      </c>
      <c r="P164" s="42">
        <v>0</v>
      </c>
      <c r="Q164" s="72">
        <v>0</v>
      </c>
      <c r="R164" s="74">
        <v>0</v>
      </c>
      <c r="S164" s="76">
        <f t="shared" si="40"/>
        <v>0</v>
      </c>
      <c r="T164" s="76">
        <f t="shared" si="44"/>
        <v>0</v>
      </c>
      <c r="U164" s="73">
        <v>0</v>
      </c>
      <c r="V164" s="34">
        <v>-75.5</v>
      </c>
      <c r="W164" s="123">
        <f>V164-I164-O164</f>
        <v>-2.5060289838521044E-3</v>
      </c>
      <c r="X164" s="123"/>
      <c r="Y164" s="123"/>
      <c r="Z164" s="123"/>
      <c r="AA164" s="119"/>
      <c r="AB164" s="119"/>
    </row>
    <row r="165" spans="5:29" s="10" customFormat="1" ht="20.25" hidden="1" customHeight="1" outlineLevel="1" x14ac:dyDescent="0.25">
      <c r="E165" s="457" t="s">
        <v>245</v>
      </c>
      <c r="F165" s="424" t="s">
        <v>246</v>
      </c>
      <c r="G165" s="71" t="s">
        <v>31</v>
      </c>
      <c r="H165" s="72"/>
      <c r="I165" s="74"/>
      <c r="J165" s="39">
        <v>0</v>
      </c>
      <c r="K165" s="42">
        <f t="shared" si="46"/>
        <v>0</v>
      </c>
      <c r="L165" s="38">
        <v>0</v>
      </c>
      <c r="M165" s="39">
        <v>0</v>
      </c>
      <c r="N165" s="39">
        <v>0</v>
      </c>
      <c r="O165" s="39">
        <v>0</v>
      </c>
      <c r="P165" s="42">
        <v>0</v>
      </c>
      <c r="Q165" s="72">
        <v>0</v>
      </c>
      <c r="R165" s="74">
        <f t="shared" si="43"/>
        <v>0</v>
      </c>
      <c r="S165" s="76">
        <f t="shared" si="40"/>
        <v>0</v>
      </c>
      <c r="T165" s="76">
        <f t="shared" si="44"/>
        <v>0</v>
      </c>
      <c r="U165" s="73">
        <v>0</v>
      </c>
      <c r="V165" s="34"/>
      <c r="W165" s="123"/>
      <c r="X165" s="123"/>
      <c r="Y165" s="123"/>
      <c r="Z165" s="123"/>
      <c r="AA165" s="119"/>
      <c r="AB165" s="119"/>
    </row>
    <row r="166" spans="5:29" s="10" customFormat="1" ht="20.25" customHeight="1" outlineLevel="1" x14ac:dyDescent="0.25">
      <c r="E166" s="457" t="s">
        <v>247</v>
      </c>
      <c r="F166" s="424" t="s">
        <v>248</v>
      </c>
      <c r="G166" s="71" t="s">
        <v>31</v>
      </c>
      <c r="H166" s="72">
        <v>0</v>
      </c>
      <c r="I166" s="74">
        <v>0</v>
      </c>
      <c r="J166" s="39">
        <v>0</v>
      </c>
      <c r="K166" s="42">
        <v>0</v>
      </c>
      <c r="L166" s="38">
        <v>0</v>
      </c>
      <c r="M166" s="39">
        <v>0</v>
      </c>
      <c r="N166" s="39">
        <v>0</v>
      </c>
      <c r="O166" s="39">
        <v>0</v>
      </c>
      <c r="P166" s="42">
        <v>0</v>
      </c>
      <c r="Q166" s="72">
        <v>0</v>
      </c>
      <c r="R166" s="74">
        <f t="shared" ref="R166" si="47">N166/$N$16*$R$16</f>
        <v>0</v>
      </c>
      <c r="S166" s="76">
        <f t="shared" ref="S166" si="48">T166/2</f>
        <v>0</v>
      </c>
      <c r="T166" s="76">
        <f t="shared" ref="T166" si="49">(U166-R166)*2</f>
        <v>0</v>
      </c>
      <c r="U166" s="73">
        <v>0</v>
      </c>
      <c r="V166" s="34">
        <f>K204</f>
        <v>7.2632655667257495</v>
      </c>
      <c r="W166" s="123"/>
      <c r="X166" s="123"/>
      <c r="Y166" s="123"/>
      <c r="Z166" s="123"/>
      <c r="AA166" s="119"/>
      <c r="AB166" s="119"/>
    </row>
    <row r="167" spans="5:29" s="106" customFormat="1" ht="32.25" customHeight="1" x14ac:dyDescent="0.25">
      <c r="E167" s="26"/>
      <c r="F167" s="124" t="s">
        <v>522</v>
      </c>
      <c r="G167" s="96" t="s">
        <v>31</v>
      </c>
      <c r="H167" s="389">
        <f>SUM(H168:H171)</f>
        <v>0</v>
      </c>
      <c r="I167" s="98">
        <f>SUM(I168:I171)</f>
        <v>-13.608655436004403</v>
      </c>
      <c r="J167" s="438">
        <f t="shared" ref="J167:U167" si="50">SUM(J168:J171)</f>
        <v>0</v>
      </c>
      <c r="K167" s="439">
        <f t="shared" si="50"/>
        <v>-13.608655436004403</v>
      </c>
      <c r="L167" s="440">
        <f t="shared" si="50"/>
        <v>0</v>
      </c>
      <c r="M167" s="438">
        <f t="shared" si="50"/>
        <v>-25.795368129641048</v>
      </c>
      <c r="N167" s="438">
        <f t="shared" si="50"/>
        <v>-51.590736259282096</v>
      </c>
      <c r="O167" s="438">
        <f t="shared" si="50"/>
        <v>-25.795368129641048</v>
      </c>
      <c r="P167" s="439">
        <f t="shared" si="50"/>
        <v>0</v>
      </c>
      <c r="Q167" s="389">
        <f t="shared" si="50"/>
        <v>0</v>
      </c>
      <c r="R167" s="98">
        <f t="shared" si="50"/>
        <v>-16.350000000000001</v>
      </c>
      <c r="S167" s="99">
        <f t="shared" si="50"/>
        <v>-20.210468132326184</v>
      </c>
      <c r="T167" s="99">
        <f t="shared" si="50"/>
        <v>-40.420936264652369</v>
      </c>
      <c r="U167" s="441">
        <f t="shared" si="50"/>
        <v>-36.560468132326186</v>
      </c>
      <c r="V167" s="442"/>
      <c r="W167" s="443"/>
      <c r="X167" s="443"/>
      <c r="Y167" s="443"/>
      <c r="Z167" s="443"/>
      <c r="AA167" s="444"/>
      <c r="AB167" s="444"/>
    </row>
    <row r="168" spans="5:29" s="10" customFormat="1" ht="21.75" hidden="1" customHeight="1" outlineLevel="1" x14ac:dyDescent="0.25">
      <c r="E168" s="457" t="s">
        <v>249</v>
      </c>
      <c r="F168" s="424" t="s">
        <v>523</v>
      </c>
      <c r="G168" s="71" t="s">
        <v>31</v>
      </c>
      <c r="H168" s="72"/>
      <c r="I168" s="74"/>
      <c r="J168" s="39"/>
      <c r="K168" s="42"/>
      <c r="L168" s="38"/>
      <c r="M168" s="39"/>
      <c r="N168" s="39"/>
      <c r="O168" s="39"/>
      <c r="P168" s="42"/>
      <c r="Q168" s="72"/>
      <c r="R168" s="74"/>
      <c r="S168" s="76"/>
      <c r="T168" s="76"/>
      <c r="U168" s="73"/>
      <c r="V168" s="34"/>
      <c r="W168" s="123"/>
      <c r="X168" s="123"/>
      <c r="Y168" s="123"/>
      <c r="Z168" s="123"/>
      <c r="AA168" s="119"/>
      <c r="AB168" s="119"/>
    </row>
    <row r="169" spans="5:29" s="10" customFormat="1" ht="21.75" customHeight="1" outlineLevel="1" x14ac:dyDescent="0.25">
      <c r="E169" s="457" t="s">
        <v>251</v>
      </c>
      <c r="F169" s="424" t="s">
        <v>524</v>
      </c>
      <c r="G169" s="71" t="s">
        <v>31</v>
      </c>
      <c r="H169" s="72"/>
      <c r="I169" s="74">
        <v>-13.608655436004403</v>
      </c>
      <c r="J169" s="39">
        <v>0</v>
      </c>
      <c r="K169" s="42">
        <f t="shared" si="46"/>
        <v>-13.608655436004403</v>
      </c>
      <c r="L169" s="38">
        <v>0</v>
      </c>
      <c r="M169" s="39">
        <v>-6.8</v>
      </c>
      <c r="N169" s="39">
        <v>-13.6</v>
      </c>
      <c r="O169" s="39">
        <v>-6.8</v>
      </c>
      <c r="P169" s="42">
        <v>0</v>
      </c>
      <c r="Q169" s="72">
        <v>0</v>
      </c>
      <c r="R169" s="74">
        <v>0</v>
      </c>
      <c r="S169" s="76">
        <f t="shared" si="40"/>
        <v>0</v>
      </c>
      <c r="T169" s="76">
        <f t="shared" si="44"/>
        <v>0</v>
      </c>
      <c r="U169" s="73">
        <v>0</v>
      </c>
      <c r="V169" s="34"/>
      <c r="W169" s="34"/>
      <c r="X169" s="123"/>
      <c r="Y169" s="123"/>
      <c r="Z169" s="123"/>
      <c r="AA169" s="119"/>
      <c r="AB169" s="119"/>
    </row>
    <row r="170" spans="5:29" s="10" customFormat="1" ht="21.75" customHeight="1" outlineLevel="1" x14ac:dyDescent="0.25">
      <c r="E170" s="457" t="s">
        <v>253</v>
      </c>
      <c r="F170" s="424" t="s">
        <v>525</v>
      </c>
      <c r="G170" s="71" t="s">
        <v>31</v>
      </c>
      <c r="H170" s="72"/>
      <c r="I170" s="74">
        <v>0</v>
      </c>
      <c r="J170" s="39">
        <v>0</v>
      </c>
      <c r="K170" s="42">
        <v>0</v>
      </c>
      <c r="L170" s="38">
        <v>0</v>
      </c>
      <c r="M170" s="39">
        <v>-18.995368129641047</v>
      </c>
      <c r="N170" s="39">
        <v>-37.990736259282095</v>
      </c>
      <c r="O170" s="39">
        <v>-18.995368129641047</v>
      </c>
      <c r="P170" s="42">
        <v>0</v>
      </c>
      <c r="Q170" s="72">
        <v>0</v>
      </c>
      <c r="R170" s="74">
        <v>0</v>
      </c>
      <c r="S170" s="76">
        <v>0</v>
      </c>
      <c r="T170" s="76">
        <v>0</v>
      </c>
      <c r="U170" s="73">
        <v>0</v>
      </c>
      <c r="V170" s="34"/>
      <c r="W170" s="34"/>
      <c r="X170" s="123"/>
      <c r="Y170" s="123"/>
      <c r="Z170" s="123"/>
      <c r="AA170" s="119"/>
      <c r="AB170" s="119"/>
    </row>
    <row r="171" spans="5:29" s="10" customFormat="1" ht="21.75" customHeight="1" outlineLevel="1" x14ac:dyDescent="0.25">
      <c r="E171" s="457" t="s">
        <v>254</v>
      </c>
      <c r="F171" s="424" t="s">
        <v>526</v>
      </c>
      <c r="G171" s="71" t="s">
        <v>31</v>
      </c>
      <c r="H171" s="72"/>
      <c r="I171" s="74">
        <v>0</v>
      </c>
      <c r="J171" s="39">
        <v>0</v>
      </c>
      <c r="K171" s="42">
        <v>0</v>
      </c>
      <c r="L171" s="38">
        <v>0</v>
      </c>
      <c r="M171" s="39">
        <v>0</v>
      </c>
      <c r="N171" s="39">
        <v>0</v>
      </c>
      <c r="O171" s="39">
        <v>0</v>
      </c>
      <c r="P171" s="42">
        <v>0</v>
      </c>
      <c r="Q171" s="72">
        <v>0</v>
      </c>
      <c r="R171" s="74">
        <v>-16.350000000000001</v>
      </c>
      <c r="S171" s="76">
        <f>T171/2</f>
        <v>-20.210468132326184</v>
      </c>
      <c r="T171" s="76">
        <f>(U171-R171)*2</f>
        <v>-40.420936264652369</v>
      </c>
      <c r="U171" s="446">
        <f>IF(V171=X8,0,(-I177+231.02)*AE24*AF24*0.03)</f>
        <v>-36.560468132326186</v>
      </c>
      <c r="V171" s="434" t="s">
        <v>517</v>
      </c>
      <c r="W171" s="447" t="s">
        <v>518</v>
      </c>
      <c r="X171" s="123"/>
      <c r="Y171" s="123"/>
      <c r="Z171" s="123"/>
      <c r="AA171" s="119"/>
      <c r="AB171" s="119"/>
    </row>
    <row r="172" spans="5:29" s="10" customFormat="1" ht="17.25" customHeight="1" x14ac:dyDescent="0.25">
      <c r="E172" s="457"/>
      <c r="F172" s="124" t="s">
        <v>256</v>
      </c>
      <c r="G172" s="96" t="s">
        <v>31</v>
      </c>
      <c r="H172" s="72"/>
      <c r="I172" s="74">
        <v>0</v>
      </c>
      <c r="J172" s="39">
        <v>0</v>
      </c>
      <c r="K172" s="42">
        <v>0</v>
      </c>
      <c r="L172" s="38">
        <v>-221.51999999999995</v>
      </c>
      <c r="M172" s="39">
        <v>221.51999999999995</v>
      </c>
      <c r="N172" s="39">
        <v>443.03999999999991</v>
      </c>
      <c r="O172" s="39">
        <v>0</v>
      </c>
      <c r="P172" s="42">
        <v>0</v>
      </c>
      <c r="Q172" s="72">
        <v>0</v>
      </c>
      <c r="R172" s="74">
        <v>0</v>
      </c>
      <c r="S172" s="76">
        <v>0</v>
      </c>
      <c r="T172" s="76">
        <v>0</v>
      </c>
      <c r="U172" s="436">
        <v>0</v>
      </c>
      <c r="V172" s="434"/>
      <c r="W172" s="435"/>
      <c r="X172" s="123"/>
      <c r="Y172" s="123"/>
      <c r="Z172" s="123"/>
      <c r="AA172" s="119"/>
      <c r="AB172" s="119"/>
    </row>
    <row r="173" spans="5:29" s="10" customFormat="1" ht="17.25" customHeight="1" x14ac:dyDescent="0.25">
      <c r="E173" s="457" t="s">
        <v>255</v>
      </c>
      <c r="F173" s="124" t="s">
        <v>527</v>
      </c>
      <c r="G173" s="125" t="s">
        <v>31</v>
      </c>
      <c r="H173" s="72"/>
      <c r="I173" s="74">
        <v>0</v>
      </c>
      <c r="J173" s="39">
        <v>0</v>
      </c>
      <c r="K173" s="42">
        <v>0</v>
      </c>
      <c r="L173" s="38">
        <v>0</v>
      </c>
      <c r="M173" s="39">
        <v>0</v>
      </c>
      <c r="N173" s="39">
        <v>0</v>
      </c>
      <c r="O173" s="39">
        <v>0</v>
      </c>
      <c r="P173" s="42">
        <v>0</v>
      </c>
      <c r="Q173" s="72">
        <v>0</v>
      </c>
      <c r="R173" s="74">
        <v>0</v>
      </c>
      <c r="S173" s="76">
        <v>0</v>
      </c>
      <c r="T173" s="76">
        <v>0</v>
      </c>
      <c r="U173" s="73">
        <v>0</v>
      </c>
      <c r="V173" s="34"/>
      <c r="W173" s="34"/>
      <c r="X173" s="123"/>
      <c r="Y173" s="123"/>
      <c r="Z173" s="123"/>
      <c r="AA173" s="119"/>
      <c r="AB173" s="119"/>
    </row>
    <row r="174" spans="5:29" s="10" customFormat="1" ht="17.25" customHeight="1" x14ac:dyDescent="0.25">
      <c r="E174" s="457"/>
      <c r="F174" s="124" t="s">
        <v>528</v>
      </c>
      <c r="G174" s="96" t="s">
        <v>31</v>
      </c>
      <c r="H174" s="389">
        <f>H175+H176</f>
        <v>0</v>
      </c>
      <c r="I174" s="98">
        <f t="shared" ref="I174:U174" si="51">I175+I176</f>
        <v>0</v>
      </c>
      <c r="J174" s="438">
        <f t="shared" si="51"/>
        <v>0</v>
      </c>
      <c r="K174" s="439">
        <f t="shared" si="51"/>
        <v>0</v>
      </c>
      <c r="L174" s="440">
        <f t="shared" si="51"/>
        <v>0</v>
      </c>
      <c r="M174" s="438">
        <f t="shared" si="51"/>
        <v>-176</v>
      </c>
      <c r="N174" s="438">
        <f t="shared" si="51"/>
        <v>-352</v>
      </c>
      <c r="O174" s="438">
        <f t="shared" si="51"/>
        <v>-176</v>
      </c>
      <c r="P174" s="439">
        <f t="shared" si="51"/>
        <v>58.666666666666664</v>
      </c>
      <c r="Q174" s="389">
        <f t="shared" si="51"/>
        <v>0</v>
      </c>
      <c r="R174" s="98">
        <f t="shared" si="51"/>
        <v>0</v>
      </c>
      <c r="S174" s="99">
        <f t="shared" si="51"/>
        <v>88</v>
      </c>
      <c r="T174" s="99">
        <f t="shared" si="51"/>
        <v>176</v>
      </c>
      <c r="U174" s="441">
        <f t="shared" si="51"/>
        <v>88</v>
      </c>
      <c r="V174" s="34"/>
      <c r="W174" s="34"/>
      <c r="X174" s="123"/>
      <c r="Y174" s="123"/>
      <c r="Z174" s="123"/>
      <c r="AA174" s="119"/>
      <c r="AB174" s="119"/>
    </row>
    <row r="175" spans="5:29" s="10" customFormat="1" ht="17.25" customHeight="1" outlineLevel="2" x14ac:dyDescent="0.25">
      <c r="E175" s="457" t="s">
        <v>257</v>
      </c>
      <c r="F175" s="424" t="s">
        <v>529</v>
      </c>
      <c r="G175" s="445" t="s">
        <v>31</v>
      </c>
      <c r="H175" s="72"/>
      <c r="I175" s="74">
        <v>0</v>
      </c>
      <c r="J175" s="39">
        <v>0</v>
      </c>
      <c r="K175" s="42">
        <v>0</v>
      </c>
      <c r="L175" s="38">
        <v>0</v>
      </c>
      <c r="M175" s="39">
        <v>-176</v>
      </c>
      <c r="N175" s="39">
        <v>-352</v>
      </c>
      <c r="O175" s="39">
        <v>-176</v>
      </c>
      <c r="P175" s="42">
        <v>58.666666666666664</v>
      </c>
      <c r="Q175" s="72">
        <v>0</v>
      </c>
      <c r="R175" s="74">
        <v>0</v>
      </c>
      <c r="S175" s="76">
        <v>88</v>
      </c>
      <c r="T175" s="76">
        <f>S175*2</f>
        <v>176</v>
      </c>
      <c r="U175" s="73">
        <v>88</v>
      </c>
      <c r="V175" s="34">
        <v>176</v>
      </c>
      <c r="W175" s="455">
        <f>V175-U175</f>
        <v>88</v>
      </c>
      <c r="X175" s="456" t="s">
        <v>536</v>
      </c>
      <c r="Y175" s="456"/>
      <c r="Z175" s="123"/>
      <c r="AA175" s="119"/>
      <c r="AB175" s="119"/>
    </row>
    <row r="176" spans="5:29" s="10" customFormat="1" ht="17.25" customHeight="1" outlineLevel="2" x14ac:dyDescent="0.25">
      <c r="E176" s="457" t="s">
        <v>258</v>
      </c>
      <c r="F176" s="424" t="s">
        <v>530</v>
      </c>
      <c r="G176" s="445" t="s">
        <v>31</v>
      </c>
      <c r="H176" s="72"/>
      <c r="I176" s="74">
        <v>0</v>
      </c>
      <c r="J176" s="39">
        <v>0</v>
      </c>
      <c r="K176" s="42">
        <v>0</v>
      </c>
      <c r="L176" s="38">
        <v>0</v>
      </c>
      <c r="M176" s="39">
        <v>0</v>
      </c>
      <c r="N176" s="39">
        <v>0</v>
      </c>
      <c r="O176" s="39">
        <v>0</v>
      </c>
      <c r="P176" s="42">
        <v>0</v>
      </c>
      <c r="Q176" s="72">
        <v>0</v>
      </c>
      <c r="R176" s="74">
        <f>N176/$N$16*$R$16</f>
        <v>0</v>
      </c>
      <c r="S176" s="76">
        <f t="shared" ref="S176" si="52">T176/2</f>
        <v>0</v>
      </c>
      <c r="T176" s="76">
        <f t="shared" ref="T176" si="53">(U176-R176)*2</f>
        <v>0</v>
      </c>
      <c r="U176" s="73">
        <v>0</v>
      </c>
      <c r="V176" s="34"/>
      <c r="W176" s="123"/>
      <c r="X176" s="123"/>
      <c r="Y176" s="123"/>
      <c r="Z176" s="123"/>
      <c r="AA176" s="119"/>
      <c r="AB176" s="119"/>
      <c r="AC176" s="119"/>
    </row>
    <row r="177" spans="5:30" s="10" customFormat="1" ht="22.5" customHeight="1" x14ac:dyDescent="0.25">
      <c r="E177" s="26" t="s">
        <v>259</v>
      </c>
      <c r="F177" s="95" t="s">
        <v>260</v>
      </c>
      <c r="G177" s="96" t="s">
        <v>31</v>
      </c>
      <c r="H177" s="389">
        <f t="shared" ref="H177:U177" si="54">H24+H73+H110+H147+H149+H152+H153</f>
        <v>0</v>
      </c>
      <c r="I177" s="369">
        <f t="shared" si="54"/>
        <v>1297.5696316228552</v>
      </c>
      <c r="J177" s="126">
        <f t="shared" si="54"/>
        <v>1471.9126700011</v>
      </c>
      <c r="K177" s="103">
        <f t="shared" si="54"/>
        <v>1282.2018849492097</v>
      </c>
      <c r="L177" s="359">
        <f t="shared" si="54"/>
        <v>674.46637558973623</v>
      </c>
      <c r="M177" s="126">
        <f t="shared" si="54"/>
        <v>922.99949435989231</v>
      </c>
      <c r="N177" s="126">
        <f t="shared" si="54"/>
        <v>1845.9989887197846</v>
      </c>
      <c r="O177" s="126">
        <f t="shared" si="54"/>
        <v>1597.4658699496283</v>
      </c>
      <c r="P177" s="103">
        <f t="shared" si="54"/>
        <v>1963.7170695855084</v>
      </c>
      <c r="Q177" s="359">
        <f t="shared" si="54"/>
        <v>1923.9259999999999</v>
      </c>
      <c r="R177" s="126">
        <f t="shared" si="54"/>
        <v>922.99486754593443</v>
      </c>
      <c r="S177" s="126">
        <f t="shared" si="54"/>
        <v>1062.7490639493014</v>
      </c>
      <c r="T177" s="126">
        <f t="shared" si="54"/>
        <v>2125.4981278986029</v>
      </c>
      <c r="U177" s="126">
        <f t="shared" si="54"/>
        <v>1985.7439314952358</v>
      </c>
      <c r="V177" s="34"/>
      <c r="W177" s="119"/>
      <c r="X177" s="119"/>
      <c r="Y177" s="119"/>
      <c r="Z177" s="119"/>
      <c r="AA177" s="119"/>
      <c r="AB177" s="119"/>
      <c r="AC177" s="119"/>
    </row>
    <row r="178" spans="5:30" s="10" customFormat="1" ht="22.5" customHeight="1" thickBot="1" x14ac:dyDescent="0.3">
      <c r="E178" s="26" t="s">
        <v>261</v>
      </c>
      <c r="F178" s="127" t="str">
        <f>"Тариф на " &amp; tariftype &amp; ""</f>
        <v>Тариф на водоотведение</v>
      </c>
      <c r="G178" s="96" t="s">
        <v>262</v>
      </c>
      <c r="H178" s="390" t="e">
        <f t="shared" ref="H178:U178" si="55">H177/IF(H16=0,H21,H16)</f>
        <v>#DIV/0!</v>
      </c>
      <c r="I178" s="477">
        <f t="shared" si="55"/>
        <v>62.684523266804604</v>
      </c>
      <c r="J178" s="228">
        <f t="shared" si="55"/>
        <v>72.369087112662342</v>
      </c>
      <c r="K178" s="370">
        <f t="shared" si="55"/>
        <v>63.041634058248768</v>
      </c>
      <c r="L178" s="478">
        <f t="shared" si="55"/>
        <v>62.683307917034966</v>
      </c>
      <c r="M178" s="228">
        <f t="shared" si="55"/>
        <v>85.781387488205496</v>
      </c>
      <c r="N178" s="228">
        <f t="shared" si="55"/>
        <v>85.781387488205496</v>
      </c>
      <c r="O178" s="228">
        <f t="shared" si="55"/>
        <v>74.232347702620217</v>
      </c>
      <c r="P178" s="370">
        <f t="shared" si="55"/>
        <v>91.251607337087222</v>
      </c>
      <c r="Q178" s="478">
        <f>Q177/IF(Q16=0,Q21,Q16)+0.01</f>
        <v>89.412563442945213</v>
      </c>
      <c r="R178" s="228">
        <f t="shared" si="55"/>
        <v>85.780957483071816</v>
      </c>
      <c r="S178" s="228">
        <f t="shared" si="55"/>
        <v>98.769381580848801</v>
      </c>
      <c r="T178" s="228">
        <f t="shared" si="55"/>
        <v>98.769381580848801</v>
      </c>
      <c r="U178" s="228">
        <f t="shared" si="55"/>
        <v>92.275169531960302</v>
      </c>
      <c r="V178" s="34"/>
      <c r="W178" s="119"/>
      <c r="X178" s="119"/>
      <c r="Y178" s="119"/>
      <c r="Z178" s="119"/>
      <c r="AA178" s="119"/>
      <c r="AB178" s="119"/>
      <c r="AC178" s="119"/>
    </row>
    <row r="179" spans="5:30" s="10" customFormat="1" thickBot="1" x14ac:dyDescent="0.3">
      <c r="E179" s="372"/>
      <c r="F179" s="413" t="s">
        <v>567</v>
      </c>
      <c r="G179" s="416" t="s">
        <v>262</v>
      </c>
      <c r="H179" s="415"/>
      <c r="I179" s="400"/>
      <c r="J179" s="401"/>
      <c r="K179" s="401"/>
      <c r="L179" s="376"/>
      <c r="M179" s="376"/>
      <c r="N179" s="376"/>
      <c r="O179" s="376"/>
      <c r="P179" s="479">
        <v>85.78</v>
      </c>
      <c r="Q179" s="479" t="s">
        <v>534</v>
      </c>
      <c r="R179" s="376"/>
      <c r="S179" s="376"/>
      <c r="T179" s="376"/>
      <c r="U179" s="377"/>
      <c r="W179" s="119"/>
      <c r="X179" s="123"/>
      <c r="Y179" s="123"/>
      <c r="Z179" s="123"/>
      <c r="AA179" s="123"/>
      <c r="AB179" s="119"/>
      <c r="AC179" s="119"/>
      <c r="AD179" s="34"/>
    </row>
    <row r="180" spans="5:30" s="10" customFormat="1" thickBot="1" x14ac:dyDescent="0.3">
      <c r="E180" s="372"/>
      <c r="F180" s="414" t="s">
        <v>568</v>
      </c>
      <c r="G180" s="417" t="s">
        <v>262</v>
      </c>
      <c r="H180" s="58"/>
      <c r="I180" s="507"/>
      <c r="J180" s="508"/>
      <c r="K180" s="508"/>
      <c r="L180" s="508"/>
      <c r="M180" s="508"/>
      <c r="N180" s="508"/>
      <c r="O180" s="508"/>
      <c r="P180" s="509">
        <v>96.72</v>
      </c>
      <c r="Q180" s="510" t="s">
        <v>535</v>
      </c>
      <c r="R180" s="508"/>
      <c r="S180" s="508"/>
      <c r="T180" s="508"/>
      <c r="U180" s="511"/>
      <c r="W180" s="119"/>
      <c r="X180" s="123"/>
      <c r="Y180" s="123"/>
      <c r="Z180" s="123"/>
      <c r="AA180" s="123"/>
      <c r="AB180" s="119"/>
      <c r="AC180" s="119"/>
      <c r="AD180" s="34"/>
    </row>
    <row r="181" spans="5:30" s="10" customFormat="1" ht="30.75" thickBot="1" x14ac:dyDescent="0.3">
      <c r="E181" s="128"/>
      <c r="F181" s="371" t="s">
        <v>263</v>
      </c>
      <c r="G181" s="373" t="s">
        <v>46</v>
      </c>
      <c r="H181" s="374"/>
      <c r="I181" s="513"/>
      <c r="J181" s="508"/>
      <c r="K181" s="508"/>
      <c r="L181" s="508"/>
      <c r="M181" s="508"/>
      <c r="N181" s="508"/>
      <c r="O181" s="508"/>
      <c r="P181" s="508"/>
      <c r="Q181" s="508">
        <f>Q178/O178</f>
        <v>1.204495967191257</v>
      </c>
      <c r="R181" s="508">
        <f>R178/N178</f>
        <v>0.99999498719773283</v>
      </c>
      <c r="S181" s="508">
        <f>S178/N178</f>
        <v>1.1514080673319615</v>
      </c>
      <c r="T181" s="508">
        <f>T178/N178</f>
        <v>1.1514080673319615</v>
      </c>
      <c r="U181" s="511">
        <f>U178/O178</f>
        <v>1.2430587525214862</v>
      </c>
      <c r="W181" s="119"/>
      <c r="X181" s="123"/>
      <c r="Y181" s="123"/>
      <c r="Z181" s="123"/>
      <c r="AA181" s="123"/>
      <c r="AB181" s="119"/>
      <c r="AC181" s="119"/>
      <c r="AD181" s="34"/>
    </row>
    <row r="182" spans="5:30" s="10" customFormat="1" ht="28.5" customHeight="1" thickBot="1" x14ac:dyDescent="0.3">
      <c r="E182" s="372"/>
      <c r="F182" s="517" t="s">
        <v>569</v>
      </c>
      <c r="G182" s="518" t="s">
        <v>262</v>
      </c>
      <c r="H182" s="519"/>
      <c r="I182" s="378"/>
      <c r="J182" s="379"/>
      <c r="K182" s="379"/>
      <c r="L182" s="379"/>
      <c r="M182" s="379"/>
      <c r="N182" s="379"/>
      <c r="O182" s="379"/>
      <c r="P182" s="480"/>
      <c r="Q182" s="480"/>
      <c r="R182" s="378">
        <f>R178*1.05</f>
        <v>90.070005357225412</v>
      </c>
      <c r="S182" s="378">
        <f>S178*1.05</f>
        <v>103.70785065989125</v>
      </c>
      <c r="T182" s="378">
        <f>T178*1.05</f>
        <v>103.70785065989125</v>
      </c>
      <c r="U182" s="480"/>
      <c r="W182" s="119"/>
      <c r="X182" s="123"/>
      <c r="Y182" s="123"/>
      <c r="Z182" s="123"/>
      <c r="AA182" s="123"/>
      <c r="AB182" s="119"/>
      <c r="AC182" s="119"/>
      <c r="AD182" s="34"/>
    </row>
    <row r="183" spans="5:30" s="10" customFormat="1" ht="30.75" thickBot="1" x14ac:dyDescent="0.3">
      <c r="E183" s="129"/>
      <c r="F183" s="514" t="s">
        <v>264</v>
      </c>
      <c r="G183" s="515"/>
      <c r="H183" s="516"/>
      <c r="I183" s="512"/>
      <c r="J183" s="619"/>
      <c r="K183" s="620"/>
      <c r="L183" s="620"/>
      <c r="M183" s="620"/>
      <c r="N183" s="620"/>
      <c r="O183" s="620"/>
      <c r="P183" s="620"/>
      <c r="Q183" s="620"/>
      <c r="R183" s="620"/>
      <c r="S183" s="620"/>
      <c r="T183" s="620"/>
      <c r="U183" s="621"/>
      <c r="W183" s="119"/>
      <c r="X183" s="123"/>
      <c r="Y183" s="119"/>
      <c r="Z183" s="119"/>
      <c r="AA183" s="119"/>
      <c r="AB183" s="119"/>
      <c r="AC183" s="119"/>
    </row>
    <row r="184" spans="5:30" s="141" customFormat="1" ht="22.5" customHeight="1" x14ac:dyDescent="0.25">
      <c r="E184" s="26"/>
      <c r="F184" s="380" t="s">
        <v>265</v>
      </c>
      <c r="G184" s="375" t="s">
        <v>266</v>
      </c>
      <c r="H184" s="381"/>
      <c r="I184" s="382"/>
      <c r="J184" s="383"/>
      <c r="K184" s="384"/>
      <c r="L184" s="384"/>
      <c r="M184" s="384"/>
      <c r="N184" s="383"/>
      <c r="O184" s="383"/>
      <c r="P184" s="383"/>
      <c r="Q184" s="384"/>
      <c r="R184" s="133"/>
      <c r="S184" s="133"/>
      <c r="T184" s="385"/>
      <c r="U184" s="386">
        <v>5.8000000000000003E-2</v>
      </c>
    </row>
    <row r="185" spans="5:30" s="10" customFormat="1" ht="30" hidden="1" x14ac:dyDescent="0.25">
      <c r="E185" s="142"/>
      <c r="F185" s="143" t="s">
        <v>267</v>
      </c>
      <c r="G185" s="144" t="s">
        <v>266</v>
      </c>
      <c r="H185" s="134"/>
      <c r="I185" s="145"/>
      <c r="J185" s="137"/>
      <c r="K185" s="137"/>
      <c r="L185" s="137"/>
      <c r="M185" s="137"/>
      <c r="N185" s="85"/>
      <c r="O185" s="85"/>
      <c r="P185" s="85"/>
      <c r="Q185" s="137"/>
      <c r="R185" s="138"/>
      <c r="S185" s="138"/>
      <c r="T185" s="139"/>
      <c r="U185" s="140">
        <v>0.11700000000000001</v>
      </c>
    </row>
    <row r="186" spans="5:30" s="10" customFormat="1" thickBot="1" x14ac:dyDescent="0.3">
      <c r="E186" s="142"/>
      <c r="F186" s="146" t="s">
        <v>268</v>
      </c>
      <c r="G186" s="144" t="s">
        <v>266</v>
      </c>
      <c r="H186" s="134"/>
      <c r="I186" s="137"/>
      <c r="J186" s="137"/>
      <c r="K186" s="137"/>
      <c r="L186" s="137"/>
      <c r="M186" s="137"/>
      <c r="N186" s="85"/>
      <c r="O186" s="85"/>
      <c r="P186" s="85"/>
      <c r="Q186" s="137"/>
      <c r="R186" s="138"/>
      <c r="S186" s="138"/>
      <c r="T186" s="139"/>
      <c r="U186" s="140">
        <v>0.11700000000000001</v>
      </c>
    </row>
    <row r="187" spans="5:30" s="10" customFormat="1" ht="19.5" hidden="1" x14ac:dyDescent="0.25">
      <c r="E187" s="142"/>
      <c r="F187" s="146" t="s">
        <v>269</v>
      </c>
      <c r="G187" s="144" t="s">
        <v>266</v>
      </c>
      <c r="H187" s="134"/>
      <c r="I187" s="137"/>
      <c r="J187" s="137"/>
      <c r="K187" s="137"/>
      <c r="L187" s="137"/>
      <c r="M187" s="137"/>
      <c r="N187" s="85"/>
      <c r="O187" s="85"/>
      <c r="P187" s="85"/>
      <c r="Q187" s="137"/>
      <c r="R187" s="138"/>
      <c r="S187" s="138"/>
      <c r="T187" s="139"/>
      <c r="U187" s="140"/>
    </row>
    <row r="188" spans="5:30" s="10" customFormat="1" ht="22.5" hidden="1" customHeight="1" x14ac:dyDescent="0.25">
      <c r="E188" s="142"/>
      <c r="F188" s="146" t="s">
        <v>270</v>
      </c>
      <c r="G188" s="144" t="s">
        <v>266</v>
      </c>
      <c r="H188" s="134"/>
      <c r="I188" s="137"/>
      <c r="J188" s="137"/>
      <c r="K188" s="137"/>
      <c r="L188" s="137"/>
      <c r="M188" s="137"/>
      <c r="N188" s="85"/>
      <c r="O188" s="85"/>
      <c r="P188" s="85"/>
      <c r="Q188" s="137"/>
      <c r="R188" s="138"/>
      <c r="S188" s="138"/>
      <c r="T188" s="139"/>
      <c r="U188" s="140"/>
    </row>
    <row r="189" spans="5:30" s="10" customFormat="1" ht="19.5" hidden="1" x14ac:dyDescent="0.25">
      <c r="E189" s="142"/>
      <c r="F189" s="143" t="s">
        <v>271</v>
      </c>
      <c r="G189" s="144" t="s">
        <v>266</v>
      </c>
      <c r="H189" s="134"/>
      <c r="I189" s="137"/>
      <c r="J189" s="137"/>
      <c r="K189" s="137"/>
      <c r="L189" s="137"/>
      <c r="M189" s="137"/>
      <c r="N189" s="85"/>
      <c r="O189" s="85"/>
      <c r="P189" s="85"/>
      <c r="Q189" s="137"/>
      <c r="R189" s="138"/>
      <c r="S189" s="138"/>
      <c r="T189" s="139"/>
      <c r="U189" s="73"/>
    </row>
    <row r="190" spans="5:30" s="10" customFormat="1" ht="22.5" hidden="1" customHeight="1" x14ac:dyDescent="0.25">
      <c r="E190" s="142"/>
      <c r="F190" s="146" t="s">
        <v>272</v>
      </c>
      <c r="G190" s="144" t="s">
        <v>266</v>
      </c>
      <c r="H190" s="134"/>
      <c r="I190" s="85"/>
      <c r="J190" s="85"/>
      <c r="K190" s="137"/>
      <c r="L190" s="137"/>
      <c r="M190" s="137"/>
      <c r="N190" s="85"/>
      <c r="O190" s="85"/>
      <c r="P190" s="85"/>
      <c r="Q190" s="137"/>
      <c r="R190" s="138"/>
      <c r="S190" s="138"/>
      <c r="T190" s="139"/>
      <c r="U190" s="73"/>
    </row>
    <row r="191" spans="5:30" s="10" customFormat="1" ht="22.5" hidden="1" customHeight="1" x14ac:dyDescent="0.25">
      <c r="E191" s="142"/>
      <c r="F191" s="146" t="s">
        <v>273</v>
      </c>
      <c r="G191" s="144" t="s">
        <v>266</v>
      </c>
      <c r="H191" s="134"/>
      <c r="I191" s="137"/>
      <c r="J191" s="137"/>
      <c r="K191" s="137"/>
      <c r="L191" s="137"/>
      <c r="M191" s="137"/>
      <c r="N191" s="147"/>
      <c r="O191" s="147"/>
      <c r="P191" s="147"/>
      <c r="Q191" s="137"/>
      <c r="R191" s="138"/>
      <c r="S191" s="138"/>
      <c r="T191" s="147"/>
      <c r="U191" s="73">
        <v>0</v>
      </c>
    </row>
    <row r="192" spans="5:30" s="10" customFormat="1" ht="30.75" hidden="1" thickBot="1" x14ac:dyDescent="0.3">
      <c r="E192" s="142"/>
      <c r="F192" s="146" t="s">
        <v>274</v>
      </c>
      <c r="G192" s="144" t="s">
        <v>46</v>
      </c>
      <c r="H192" s="134"/>
      <c r="I192" s="148"/>
      <c r="J192" s="137"/>
      <c r="K192" s="137"/>
      <c r="L192" s="137"/>
      <c r="M192" s="137"/>
      <c r="N192" s="422"/>
      <c r="O192" s="422"/>
      <c r="P192" s="423"/>
      <c r="Q192" s="137"/>
      <c r="R192" s="138"/>
      <c r="S192" s="138"/>
      <c r="T192" s="139"/>
      <c r="U192" s="73"/>
    </row>
    <row r="193" spans="1:21" s="10" customFormat="1" ht="30" hidden="1" x14ac:dyDescent="0.25">
      <c r="E193" s="142"/>
      <c r="F193" s="146" t="s">
        <v>275</v>
      </c>
      <c r="G193" s="144" t="s">
        <v>266</v>
      </c>
      <c r="H193" s="134"/>
      <c r="I193" s="150"/>
      <c r="J193" s="418"/>
      <c r="K193" s="419"/>
      <c r="L193" s="419"/>
      <c r="M193" s="419"/>
      <c r="N193" s="419"/>
      <c r="O193" s="419"/>
      <c r="P193" s="419"/>
      <c r="Q193" s="420"/>
      <c r="R193" s="133"/>
      <c r="S193" s="133"/>
      <c r="T193" s="420"/>
      <c r="U193" s="421"/>
    </row>
    <row r="194" spans="1:21" s="10" customFormat="1" ht="30" hidden="1" x14ac:dyDescent="0.25">
      <c r="E194" s="142"/>
      <c r="F194" s="151" t="s">
        <v>276</v>
      </c>
      <c r="G194" s="144"/>
      <c r="H194" s="134"/>
      <c r="I194" s="150"/>
      <c r="J194" s="135"/>
      <c r="K194" s="136"/>
      <c r="L194" s="136"/>
      <c r="M194" s="136"/>
      <c r="N194" s="136"/>
      <c r="O194" s="136"/>
      <c r="P194" s="136"/>
      <c r="Q194" s="43"/>
      <c r="R194" s="138"/>
      <c r="S194" s="138"/>
      <c r="T194" s="43"/>
      <c r="U194" s="44"/>
    </row>
    <row r="195" spans="1:21" s="10" customFormat="1" ht="60.75" hidden="1" thickBot="1" x14ac:dyDescent="0.3">
      <c r="E195" s="128"/>
      <c r="F195" s="146" t="s">
        <v>277</v>
      </c>
      <c r="G195" s="154" t="s">
        <v>123</v>
      </c>
      <c r="H195" s="404"/>
      <c r="I195" s="134"/>
      <c r="J195" s="152"/>
      <c r="K195" s="153"/>
      <c r="L195" s="153"/>
      <c r="M195" s="153"/>
      <c r="N195" s="153"/>
      <c r="O195" s="153"/>
      <c r="P195" s="153"/>
      <c r="Q195" s="59"/>
      <c r="R195" s="149"/>
      <c r="S195" s="149"/>
      <c r="T195" s="59"/>
      <c r="U195" s="60"/>
    </row>
    <row r="196" spans="1:21" s="10" customFormat="1" ht="23.25" customHeight="1" x14ac:dyDescent="0.25">
      <c r="E196" s="155"/>
      <c r="F196" s="156" t="s">
        <v>278</v>
      </c>
      <c r="G196" s="157"/>
      <c r="H196" s="132"/>
      <c r="I196" s="407"/>
      <c r="J196" s="130"/>
      <c r="K196" s="130"/>
      <c r="L196" s="130"/>
      <c r="M196" s="130"/>
      <c r="N196" s="130"/>
      <c r="O196" s="130"/>
      <c r="P196" s="130"/>
      <c r="Q196" s="130"/>
      <c r="R196" s="133"/>
      <c r="S196" s="133"/>
      <c r="T196" s="133"/>
      <c r="U196" s="131"/>
    </row>
    <row r="197" spans="1:21" s="10" customFormat="1" ht="22.5" customHeight="1" x14ac:dyDescent="0.25">
      <c r="E197" s="158"/>
      <c r="F197" s="159" t="s">
        <v>279</v>
      </c>
      <c r="G197" s="160" t="s">
        <v>280</v>
      </c>
      <c r="H197" s="408" t="e">
        <f>(H97+H90+H83+H76+H104)/IF(H$16=0,H$18,H$16)</f>
        <v>#DIV/0!</v>
      </c>
      <c r="I197" s="162">
        <f>(I97+I90+I83+I76+I104)/IF(I$16=0,I$18,I$16)</f>
        <v>0.17696023782980302</v>
      </c>
      <c r="J197" s="162">
        <f>(J97+J90+J83+J76+J104)/IF(J$16=0,J$18,J$16)</f>
        <v>3.8841692163000763E-2</v>
      </c>
      <c r="K197" s="161">
        <f>(K76+K90)/K16</f>
        <v>0.17696023782980302</v>
      </c>
      <c r="L197" s="161"/>
      <c r="M197" s="161"/>
      <c r="N197" s="162">
        <f>(N97+N90+N83+N76+N104)/IF(N$16=0,N$18,N$16)</f>
        <v>0.10223139537304422</v>
      </c>
      <c r="O197" s="162"/>
      <c r="P197" s="162">
        <f>(P97+P90+P83+P76+P104)/IF(P$16=0,P$18,P$16)+0.01</f>
        <v>0.11223139537304422</v>
      </c>
      <c r="Q197" s="162">
        <f>(Q97+Q90+Q83+Q76+Q104)/IF(Q$16=0,Q$18,Q$16)</f>
        <v>0.10223139537304422</v>
      </c>
      <c r="R197" s="161"/>
      <c r="S197" s="161"/>
      <c r="T197" s="161">
        <f>(T97+T90+T83+T76+T104)/IF(T$16=0,T$18,T$16)</f>
        <v>0.10223139537304422</v>
      </c>
      <c r="U197" s="409">
        <f>(U97+U90+U83+U76+U104)/IF(U$16=0,U$18,U$16)</f>
        <v>0.10223139537304422</v>
      </c>
    </row>
    <row r="198" spans="1:21" s="10" customFormat="1" ht="22.5" customHeight="1" x14ac:dyDescent="0.25">
      <c r="E198" s="158"/>
      <c r="F198" s="159" t="s">
        <v>281</v>
      </c>
      <c r="G198" s="160" t="s">
        <v>282</v>
      </c>
      <c r="H198" s="410" t="e">
        <f>(H75+H82+H89+H96+H103)/(H76+H83+H90+H97+H104)</f>
        <v>#DIV/0!</v>
      </c>
      <c r="I198" s="163">
        <f>(I75+I82+I89+I96+I103)/(I76+I83+I90+I97+I104)</f>
        <v>10.78</v>
      </c>
      <c r="J198" s="163">
        <f>(J75+J82+J89+J96+J103)/(J76+J83+J90+J97+J104)</f>
        <v>10.518670887468353</v>
      </c>
      <c r="K198" s="163">
        <f>K78</f>
        <v>10.518670887468353</v>
      </c>
      <c r="L198" s="163"/>
      <c r="M198" s="163"/>
      <c r="N198" s="163">
        <f>(N75+N82+N89+N96+N103)/(N76+N83+N90+N97+N104)</f>
        <v>11.5</v>
      </c>
      <c r="O198" s="163"/>
      <c r="P198" s="163">
        <f t="shared" ref="P198:U198" si="56">(P75+P82+P89+P96+P103)/(P76+P83+P90+P97+P104)</f>
        <v>11.3506</v>
      </c>
      <c r="Q198" s="163">
        <f t="shared" si="56"/>
        <v>11.879999999999999</v>
      </c>
      <c r="R198" s="43"/>
      <c r="S198" s="43"/>
      <c r="T198" s="43">
        <f>T78</f>
        <v>12.940000000000003</v>
      </c>
      <c r="U198" s="411">
        <f t="shared" si="56"/>
        <v>12.22</v>
      </c>
    </row>
    <row r="199" spans="1:21" s="10" customFormat="1" ht="22.5" customHeight="1" x14ac:dyDescent="0.25">
      <c r="E199" s="164"/>
      <c r="F199" s="165" t="s">
        <v>214</v>
      </c>
      <c r="G199" s="403" t="s">
        <v>46</v>
      </c>
      <c r="H199" s="412" t="e">
        <f>H149/(H24+H73+H110+H147)*100</f>
        <v>#DIV/0!</v>
      </c>
      <c r="I199" s="122">
        <f>I149/(I24+I73+I110+I147)*100</f>
        <v>0</v>
      </c>
      <c r="J199" s="122">
        <f>J149/(J24+J73+J110+J147)*100</f>
        <v>0</v>
      </c>
      <c r="K199" s="122">
        <f>K149/(K24+K73+K110+K147)*100</f>
        <v>0</v>
      </c>
      <c r="L199" s="122"/>
      <c r="M199" s="122"/>
      <c r="N199" s="122">
        <f>N149/(N24+N73+N110+N147)*100</f>
        <v>0</v>
      </c>
      <c r="O199" s="122"/>
      <c r="P199" s="122">
        <f>P149/(P24+P73+P110+P147)*100</f>
        <v>0</v>
      </c>
      <c r="Q199" s="122">
        <f>Q149/(Q24+Q73+Q110+Q147)*100</f>
        <v>0</v>
      </c>
      <c r="R199" s="122"/>
      <c r="S199" s="122"/>
      <c r="T199" s="122"/>
      <c r="U199" s="73">
        <f>U149/(U24+U73+U110+U147)*100</f>
        <v>0</v>
      </c>
    </row>
    <row r="200" spans="1:21" s="10" customFormat="1" ht="30" x14ac:dyDescent="0.25">
      <c r="E200" s="164"/>
      <c r="F200" s="166" t="s">
        <v>283</v>
      </c>
      <c r="G200" s="167" t="s">
        <v>284</v>
      </c>
      <c r="H200" s="135"/>
      <c r="I200" s="136">
        <v>2</v>
      </c>
      <c r="J200" s="136">
        <v>2</v>
      </c>
      <c r="K200" s="136">
        <v>2</v>
      </c>
      <c r="L200" s="136">
        <v>2</v>
      </c>
      <c r="M200" s="136">
        <v>2</v>
      </c>
      <c r="N200" s="136">
        <v>2</v>
      </c>
      <c r="O200" s="136">
        <v>2</v>
      </c>
      <c r="P200" s="136">
        <v>2</v>
      </c>
      <c r="Q200" s="136">
        <v>2</v>
      </c>
      <c r="R200" s="138"/>
      <c r="S200" s="138"/>
      <c r="T200" s="136"/>
      <c r="U200" s="44">
        <v>2</v>
      </c>
    </row>
    <row r="201" spans="1:21" s="10" customFormat="1" ht="22.5" customHeight="1" x14ac:dyDescent="0.25">
      <c r="E201" s="164"/>
      <c r="F201" s="166" t="s">
        <v>285</v>
      </c>
      <c r="G201" s="167" t="s">
        <v>286</v>
      </c>
      <c r="H201" s="135"/>
      <c r="I201" s="136" t="s">
        <v>533</v>
      </c>
      <c r="J201" s="136" t="s">
        <v>533</v>
      </c>
      <c r="K201" s="136" t="s">
        <v>533</v>
      </c>
      <c r="L201" s="136" t="s">
        <v>533</v>
      </c>
      <c r="M201" s="136" t="s">
        <v>533</v>
      </c>
      <c r="N201" s="136" t="s">
        <v>533</v>
      </c>
      <c r="O201" s="136" t="s">
        <v>533</v>
      </c>
      <c r="P201" s="136" t="s">
        <v>533</v>
      </c>
      <c r="Q201" s="136" t="s">
        <v>533</v>
      </c>
      <c r="R201" s="138"/>
      <c r="S201" s="138"/>
      <c r="T201" s="136"/>
      <c r="U201" s="44" t="s">
        <v>533</v>
      </c>
    </row>
    <row r="202" spans="1:21" s="10" customFormat="1" thickBot="1" x14ac:dyDescent="0.3">
      <c r="E202" s="168"/>
      <c r="F202" s="169" t="s">
        <v>287</v>
      </c>
      <c r="G202" s="170" t="s">
        <v>288</v>
      </c>
      <c r="H202" s="172"/>
      <c r="I202" s="171">
        <v>6.2</v>
      </c>
      <c r="J202" s="171">
        <v>6.2</v>
      </c>
      <c r="K202" s="171">
        <v>6.2</v>
      </c>
      <c r="L202" s="171">
        <v>6.2</v>
      </c>
      <c r="M202" s="171">
        <v>6.2</v>
      </c>
      <c r="N202" s="171">
        <v>6.2</v>
      </c>
      <c r="O202" s="171">
        <v>6.2</v>
      </c>
      <c r="P202" s="171">
        <v>6.2</v>
      </c>
      <c r="Q202" s="171">
        <v>6.2</v>
      </c>
      <c r="R202" s="149"/>
      <c r="S202" s="149"/>
      <c r="T202" s="171"/>
      <c r="U202" s="173">
        <v>6.2</v>
      </c>
    </row>
    <row r="203" spans="1:21" s="10" customFormat="1" thickBot="1" x14ac:dyDescent="0.3">
      <c r="E203" s="174"/>
      <c r="F203" s="175" t="s">
        <v>289</v>
      </c>
      <c r="G203" s="176" t="s">
        <v>31</v>
      </c>
      <c r="H203" s="405" t="s">
        <v>290</v>
      </c>
      <c r="I203" s="405" t="s">
        <v>290</v>
      </c>
      <c r="J203" s="405" t="s">
        <v>290</v>
      </c>
      <c r="K203" s="406">
        <f>I178*K16</f>
        <v>1274.9386193824839</v>
      </c>
      <c r="L203" s="406"/>
      <c r="M203" s="406"/>
      <c r="N203" s="405" t="s">
        <v>290</v>
      </c>
      <c r="O203" s="405"/>
      <c r="P203" s="405" t="s">
        <v>290</v>
      </c>
      <c r="Q203" s="405" t="s">
        <v>290</v>
      </c>
      <c r="R203" s="405" t="s">
        <v>290</v>
      </c>
      <c r="S203" s="405" t="s">
        <v>290</v>
      </c>
      <c r="T203" s="405" t="s">
        <v>290</v>
      </c>
      <c r="U203" s="405" t="s">
        <v>290</v>
      </c>
    </row>
    <row r="204" spans="1:21" s="10" customFormat="1" ht="30.75" thickBot="1" x14ac:dyDescent="0.3">
      <c r="E204" s="174"/>
      <c r="F204" s="175" t="s">
        <v>291</v>
      </c>
      <c r="G204" s="176" t="s">
        <v>31</v>
      </c>
      <c r="H204" s="177" t="s">
        <v>290</v>
      </c>
      <c r="I204" s="177" t="s">
        <v>290</v>
      </c>
      <c r="J204" s="177" t="s">
        <v>290</v>
      </c>
      <c r="K204" s="178">
        <f>K177-K203</f>
        <v>7.2632655667257495</v>
      </c>
      <c r="L204" s="178"/>
      <c r="M204" s="178"/>
      <c r="N204" s="177" t="s">
        <v>290</v>
      </c>
      <c r="O204" s="177"/>
      <c r="P204" s="177" t="s">
        <v>290</v>
      </c>
      <c r="Q204" s="177" t="s">
        <v>290</v>
      </c>
      <c r="R204" s="177" t="s">
        <v>290</v>
      </c>
      <c r="S204" s="177" t="s">
        <v>290</v>
      </c>
      <c r="T204" s="177" t="s">
        <v>290</v>
      </c>
      <c r="U204" s="177" t="s">
        <v>290</v>
      </c>
    </row>
    <row r="205" spans="1:21" s="10" customFormat="1" ht="20.25" customHeight="1" x14ac:dyDescent="0.25">
      <c r="E205" s="179"/>
      <c r="F205" s="180"/>
      <c r="G205" s="181"/>
      <c r="H205" s="53"/>
    </row>
    <row r="206" spans="1:21" s="10" customFormat="1" ht="24" customHeight="1" x14ac:dyDescent="0.25">
      <c r="E206" s="182" t="s">
        <v>292</v>
      </c>
      <c r="F206" s="180"/>
      <c r="G206" s="183"/>
      <c r="Q206" s="481"/>
      <c r="R206" s="616"/>
      <c r="S206" s="616"/>
      <c r="T206" s="184" t="s">
        <v>293</v>
      </c>
      <c r="U206" s="184"/>
    </row>
    <row r="207" spans="1:21" s="10" customFormat="1" ht="11.25" customHeight="1" x14ac:dyDescent="0.25">
      <c r="E207" s="179"/>
      <c r="F207" s="180"/>
      <c r="G207" s="181"/>
      <c r="H207" s="53"/>
      <c r="Q207" s="452"/>
      <c r="R207" s="616"/>
      <c r="S207" s="616"/>
      <c r="T207" s="616"/>
      <c r="U207" s="616"/>
    </row>
    <row r="208" spans="1:21" s="3" customFormat="1" x14ac:dyDescent="0.3">
      <c r="A208" s="4"/>
      <c r="B208" s="4"/>
      <c r="C208" s="4"/>
      <c r="D208" s="4"/>
      <c r="E208" s="1"/>
      <c r="F208" s="2"/>
      <c r="G208" s="1"/>
      <c r="Q208" s="450"/>
    </row>
    <row r="209" spans="1:17" s="187" customFormat="1" x14ac:dyDescent="0.3">
      <c r="A209" s="4"/>
      <c r="B209" s="4"/>
      <c r="C209" s="4"/>
      <c r="D209" s="4"/>
      <c r="E209" s="185"/>
      <c r="F209" s="186"/>
      <c r="G209" s="185"/>
      <c r="Q209" s="453"/>
    </row>
    <row r="210" spans="1:17" x14ac:dyDescent="0.3">
      <c r="F210" s="188"/>
      <c r="G210" s="189"/>
      <c r="H210" s="190"/>
      <c r="L210" s="4" t="s">
        <v>547</v>
      </c>
    </row>
    <row r="211" spans="1:17" x14ac:dyDescent="0.3">
      <c r="E211" s="464">
        <v>50</v>
      </c>
      <c r="F211" s="465" t="s">
        <v>543</v>
      </c>
      <c r="K211" s="4" t="s">
        <v>544</v>
      </c>
      <c r="L211" s="466">
        <f>'[16]Сводная ведомость ОС, подразд В'!$P$10</f>
        <v>1028.6400000000001</v>
      </c>
      <c r="M211" s="4">
        <v>1028.6400000000001</v>
      </c>
    </row>
    <row r="212" spans="1:17" x14ac:dyDescent="0.3">
      <c r="E212" s="467">
        <v>9</v>
      </c>
      <c r="F212" s="465" t="s">
        <v>545</v>
      </c>
      <c r="K212" s="4" t="s">
        <v>546</v>
      </c>
      <c r="L212" s="466">
        <f>'[17]Сводная ведомость ОС, подразд В'!$P$8</f>
        <v>1298.27</v>
      </c>
      <c r="M212" s="4">
        <v>1298.27</v>
      </c>
    </row>
    <row r="213" spans="1:17" x14ac:dyDescent="0.3">
      <c r="L213" s="466">
        <f>L211+L212</f>
        <v>2326.91</v>
      </c>
    </row>
    <row r="214" spans="1:17" x14ac:dyDescent="0.3">
      <c r="L214" s="4">
        <f>L213*12</f>
        <v>27922.92</v>
      </c>
    </row>
    <row r="230" spans="1:21" s="187" customFormat="1" x14ac:dyDescent="0.3">
      <c r="A230" s="4"/>
      <c r="B230" s="4"/>
      <c r="C230" s="4"/>
      <c r="D230" s="4"/>
      <c r="E230" s="5"/>
      <c r="F230" s="186"/>
      <c r="G230" s="5"/>
      <c r="H230" s="4"/>
      <c r="I230" s="4"/>
      <c r="J230" s="4"/>
      <c r="K230" s="4"/>
      <c r="L230" s="4"/>
      <c r="M230" s="4"/>
      <c r="N230" s="4"/>
      <c r="O230" s="4"/>
      <c r="P230" s="4"/>
      <c r="Q230" s="451"/>
      <c r="R230" s="4"/>
      <c r="S230" s="4"/>
      <c r="T230" s="4"/>
      <c r="U230" s="4"/>
    </row>
    <row r="231" spans="1:21" s="187" customFormat="1" x14ac:dyDescent="0.3">
      <c r="A231" s="4"/>
      <c r="B231" s="4"/>
      <c r="C231" s="4"/>
      <c r="D231" s="4"/>
      <c r="E231" s="5"/>
      <c r="F231" s="186"/>
      <c r="G231" s="5"/>
      <c r="H231" s="4"/>
      <c r="I231" s="4"/>
      <c r="J231" s="4"/>
      <c r="K231" s="4"/>
      <c r="L231" s="4"/>
      <c r="M231" s="4"/>
      <c r="N231" s="4"/>
      <c r="O231" s="4"/>
      <c r="P231" s="4"/>
      <c r="Q231" s="451"/>
      <c r="R231" s="4"/>
      <c r="S231" s="4"/>
      <c r="T231" s="4"/>
      <c r="U231" s="4"/>
    </row>
    <row r="232" spans="1:21" s="187" customFormat="1" x14ac:dyDescent="0.3">
      <c r="A232" s="4"/>
      <c r="B232" s="4"/>
      <c r="C232" s="4"/>
      <c r="D232" s="4"/>
      <c r="E232" s="5"/>
      <c r="F232" s="186"/>
      <c r="G232" s="5"/>
      <c r="H232" s="4"/>
      <c r="I232" s="4"/>
      <c r="J232" s="4"/>
      <c r="K232" s="4"/>
      <c r="L232" s="4"/>
      <c r="M232" s="4"/>
      <c r="N232" s="4"/>
      <c r="O232" s="4"/>
      <c r="P232" s="4"/>
      <c r="Q232" s="451"/>
      <c r="R232" s="4"/>
      <c r="S232" s="4"/>
      <c r="T232" s="4"/>
      <c r="U232" s="4"/>
    </row>
    <row r="233" spans="1:21" s="194" customFormat="1" x14ac:dyDescent="0.3">
      <c r="A233" s="191"/>
      <c r="B233" s="191"/>
      <c r="C233" s="191"/>
      <c r="D233" s="191"/>
      <c r="E233" s="192"/>
      <c r="F233" s="193" t="s">
        <v>294</v>
      </c>
      <c r="G233" s="192"/>
      <c r="H233" s="191"/>
      <c r="I233" s="191"/>
      <c r="J233" s="191"/>
      <c r="K233" s="191"/>
      <c r="L233" s="191"/>
      <c r="M233" s="191"/>
      <c r="N233" s="191"/>
      <c r="O233" s="191"/>
      <c r="P233" s="191"/>
      <c r="Q233" s="454"/>
      <c r="R233" s="191"/>
      <c r="S233" s="191"/>
      <c r="T233" s="191"/>
      <c r="U233" s="191"/>
    </row>
    <row r="234" spans="1:21" s="194" customFormat="1" x14ac:dyDescent="0.3">
      <c r="A234" s="191"/>
      <c r="B234" s="191"/>
      <c r="C234" s="191"/>
      <c r="D234" s="191"/>
      <c r="E234" s="192"/>
      <c r="F234" s="193" t="s">
        <v>295</v>
      </c>
      <c r="G234" s="192"/>
      <c r="H234" s="191"/>
      <c r="I234" s="191"/>
      <c r="J234" s="191"/>
      <c r="K234" s="191"/>
      <c r="L234" s="191"/>
      <c r="M234" s="191"/>
      <c r="N234" s="191"/>
      <c r="O234" s="191"/>
      <c r="P234" s="191"/>
      <c r="Q234" s="454"/>
      <c r="R234" s="191"/>
      <c r="S234" s="191"/>
      <c r="T234" s="191"/>
      <c r="U234" s="191"/>
    </row>
    <row r="235" spans="1:21" s="194" customFormat="1" x14ac:dyDescent="0.3">
      <c r="A235" s="191"/>
      <c r="B235" s="191"/>
      <c r="C235" s="191"/>
      <c r="D235" s="191"/>
      <c r="E235" s="192"/>
      <c r="F235" s="193" t="s">
        <v>296</v>
      </c>
      <c r="G235" s="192"/>
      <c r="H235" s="191"/>
      <c r="I235" s="191"/>
      <c r="J235" s="191"/>
      <c r="K235" s="191"/>
      <c r="L235" s="191"/>
      <c r="M235" s="191"/>
      <c r="N235" s="191"/>
      <c r="O235" s="191"/>
      <c r="P235" s="191"/>
      <c r="Q235" s="454"/>
      <c r="R235" s="191"/>
      <c r="S235" s="191"/>
      <c r="T235" s="191"/>
      <c r="U235" s="191"/>
    </row>
    <row r="236" spans="1:21" s="194" customFormat="1" x14ac:dyDescent="0.3">
      <c r="A236" s="191"/>
      <c r="B236" s="191"/>
      <c r="C236" s="191"/>
      <c r="D236" s="191"/>
      <c r="E236" s="192"/>
      <c r="F236" s="193" t="s">
        <v>297</v>
      </c>
      <c r="G236" s="192"/>
      <c r="H236" s="191"/>
      <c r="I236" s="191"/>
      <c r="J236" s="191"/>
      <c r="K236" s="191"/>
      <c r="L236" s="191"/>
      <c r="M236" s="191"/>
      <c r="N236" s="191"/>
      <c r="O236" s="191"/>
      <c r="P236" s="191"/>
      <c r="Q236" s="454"/>
      <c r="R236" s="191"/>
      <c r="S236" s="191"/>
      <c r="T236" s="191"/>
      <c r="U236" s="191"/>
    </row>
    <row r="237" spans="1:21" s="194" customFormat="1" x14ac:dyDescent="0.3">
      <c r="A237" s="191"/>
      <c r="B237" s="191"/>
      <c r="C237" s="191"/>
      <c r="D237" s="191"/>
      <c r="E237" s="192"/>
      <c r="F237" s="193" t="s">
        <v>293</v>
      </c>
      <c r="G237" s="192"/>
      <c r="H237" s="191"/>
      <c r="I237" s="191"/>
      <c r="J237" s="191"/>
      <c r="K237" s="191"/>
      <c r="L237" s="191"/>
      <c r="M237" s="191"/>
      <c r="N237" s="191"/>
      <c r="O237" s="191"/>
      <c r="P237" s="191"/>
      <c r="Q237" s="454"/>
      <c r="R237" s="191"/>
      <c r="S237" s="191"/>
      <c r="T237" s="191"/>
      <c r="U237" s="191"/>
    </row>
    <row r="238" spans="1:21" s="194" customFormat="1" x14ac:dyDescent="0.3">
      <c r="A238" s="191"/>
      <c r="B238" s="191"/>
      <c r="C238" s="191"/>
      <c r="D238" s="191"/>
      <c r="E238" s="192"/>
      <c r="F238" s="193" t="s">
        <v>298</v>
      </c>
      <c r="G238" s="192"/>
      <c r="H238" s="191"/>
      <c r="I238" s="191"/>
      <c r="J238" s="191"/>
      <c r="K238" s="191"/>
      <c r="L238" s="191"/>
      <c r="M238" s="191"/>
      <c r="N238" s="191"/>
      <c r="O238" s="191"/>
      <c r="P238" s="191"/>
      <c r="Q238" s="454"/>
      <c r="R238" s="191"/>
      <c r="S238" s="191"/>
      <c r="T238" s="191"/>
      <c r="U238" s="191"/>
    </row>
    <row r="239" spans="1:21" s="194" customFormat="1" x14ac:dyDescent="0.3">
      <c r="A239" s="191"/>
      <c r="B239" s="191"/>
      <c r="C239" s="191"/>
      <c r="D239" s="191"/>
      <c r="E239" s="192"/>
      <c r="F239" s="193" t="s">
        <v>299</v>
      </c>
      <c r="G239" s="192"/>
      <c r="H239" s="191"/>
      <c r="I239" s="191"/>
      <c r="J239" s="191"/>
      <c r="K239" s="191"/>
      <c r="L239" s="191"/>
      <c r="M239" s="191"/>
      <c r="N239" s="191"/>
      <c r="O239" s="191"/>
      <c r="P239" s="191"/>
      <c r="Q239" s="454"/>
      <c r="R239" s="191"/>
      <c r="S239" s="191"/>
      <c r="T239" s="191"/>
      <c r="U239" s="191"/>
    </row>
    <row r="240" spans="1:21" s="194" customFormat="1" x14ac:dyDescent="0.3">
      <c r="A240" s="191"/>
      <c r="B240" s="191"/>
      <c r="C240" s="191"/>
      <c r="D240" s="191"/>
      <c r="E240" s="192"/>
      <c r="F240" s="193" t="s">
        <v>300</v>
      </c>
      <c r="G240" s="192"/>
      <c r="H240" s="191"/>
      <c r="I240" s="191"/>
      <c r="J240" s="191"/>
      <c r="K240" s="191"/>
      <c r="L240" s="191"/>
      <c r="M240" s="191"/>
      <c r="N240" s="191"/>
      <c r="O240" s="191"/>
      <c r="P240" s="191"/>
      <c r="Q240" s="454"/>
      <c r="R240" s="191"/>
      <c r="S240" s="191"/>
      <c r="T240" s="191"/>
      <c r="U240" s="191"/>
    </row>
    <row r="241" spans="1:21" s="194" customFormat="1" ht="15.75" customHeight="1" x14ac:dyDescent="0.3">
      <c r="A241" s="191"/>
      <c r="B241" s="191"/>
      <c r="C241" s="191"/>
      <c r="D241" s="191"/>
      <c r="E241" s="192"/>
      <c r="F241" s="193" t="s">
        <v>301</v>
      </c>
      <c r="G241" s="192"/>
      <c r="H241" s="191"/>
      <c r="I241" s="191"/>
      <c r="J241" s="191"/>
      <c r="K241" s="191"/>
      <c r="L241" s="191"/>
      <c r="M241" s="191"/>
      <c r="N241" s="191"/>
      <c r="O241" s="191"/>
      <c r="P241" s="191"/>
      <c r="Q241" s="454"/>
      <c r="R241" s="191"/>
      <c r="S241" s="191"/>
      <c r="T241" s="191"/>
      <c r="U241" s="191"/>
    </row>
    <row r="242" spans="1:21" s="187" customFormat="1" x14ac:dyDescent="0.3">
      <c r="A242" s="4"/>
      <c r="B242" s="4"/>
      <c r="C242" s="4"/>
      <c r="D242" s="4"/>
      <c r="E242" s="5"/>
      <c r="F242" s="186"/>
      <c r="G242" s="5"/>
      <c r="H242" s="4"/>
      <c r="I242" s="4"/>
      <c r="J242" s="4"/>
      <c r="K242" s="4"/>
      <c r="L242" s="4"/>
      <c r="M242" s="4"/>
      <c r="N242" s="4"/>
      <c r="O242" s="4"/>
      <c r="P242" s="4"/>
      <c r="Q242" s="451"/>
      <c r="R242" s="4"/>
      <c r="S242" s="4"/>
      <c r="T242" s="4"/>
      <c r="U242" s="4"/>
    </row>
    <row r="243" spans="1:21" s="187" customFormat="1" x14ac:dyDescent="0.3">
      <c r="A243" s="4"/>
      <c r="B243" s="4"/>
      <c r="C243" s="4"/>
      <c r="D243" s="4"/>
      <c r="E243" s="5"/>
      <c r="F243" s="186"/>
      <c r="G243" s="5"/>
      <c r="H243" s="4"/>
      <c r="I243" s="4"/>
      <c r="J243" s="4"/>
      <c r="K243" s="4"/>
      <c r="L243" s="4"/>
      <c r="M243" s="4"/>
      <c r="N243" s="4"/>
      <c r="O243" s="4"/>
      <c r="P243" s="4"/>
      <c r="Q243" s="451"/>
      <c r="R243" s="4"/>
      <c r="S243" s="4"/>
      <c r="T243" s="4"/>
      <c r="U243" s="4"/>
    </row>
  </sheetData>
  <mergeCells count="33">
    <mergeCell ref="E9:U9"/>
    <mergeCell ref="E10:U10"/>
    <mergeCell ref="E12:E14"/>
    <mergeCell ref="F12:F14"/>
    <mergeCell ref="G12:G14"/>
    <mergeCell ref="I12:K12"/>
    <mergeCell ref="Q12:U12"/>
    <mergeCell ref="H13:H14"/>
    <mergeCell ref="P13:P14"/>
    <mergeCell ref="L12:P12"/>
    <mergeCell ref="L13:L14"/>
    <mergeCell ref="M13:M14"/>
    <mergeCell ref="N13:N14"/>
    <mergeCell ref="O13:O14"/>
    <mergeCell ref="E34:E35"/>
    <mergeCell ref="F34:F35"/>
    <mergeCell ref="E39:E40"/>
    <mergeCell ref="F39:F40"/>
    <mergeCell ref="K13:K14"/>
    <mergeCell ref="I13:I14"/>
    <mergeCell ref="J13:J14"/>
    <mergeCell ref="W148:Z148"/>
    <mergeCell ref="R206:S206"/>
    <mergeCell ref="Q13:Q14"/>
    <mergeCell ref="R13:U13"/>
    <mergeCell ref="W23:X23"/>
    <mergeCell ref="R207:S207"/>
    <mergeCell ref="T207:U207"/>
    <mergeCell ref="E56:E57"/>
    <mergeCell ref="F56:F57"/>
    <mergeCell ref="E64:E65"/>
    <mergeCell ref="F64:F65"/>
    <mergeCell ref="J183:U183"/>
  </mergeCells>
  <dataValidations count="5">
    <dataValidation type="list" errorStyle="warning" allowBlank="1" showInputMessage="1" showErrorMessage="1" sqref="T206" xr:uid="{D578F485-7653-49D8-9D35-83FC7154EE56}">
      <formula1>$F$233:$F$241</formula1>
    </dataValidation>
    <dataValidation type="list" errorStyle="warning" allowBlank="1" showInputMessage="1" showErrorMessage="1" sqref="U206" xr:uid="{1D003EB2-9352-4D39-A243-9FE8B6688780}">
      <formula1>$F$238:$F$246</formula1>
    </dataValidation>
    <dataValidation type="list" allowBlank="1" showInputMessage="1" showErrorMessage="1" sqref="V124" xr:uid="{89DC05A5-C758-4E62-9CEB-E37E5D4C27DE}">
      <formula1>$W$8:$W$9</formula1>
    </dataValidation>
    <dataValidation type="list" allowBlank="1" showInputMessage="1" showErrorMessage="1" sqref="V24" xr:uid="{E40856E5-13DD-42E8-8656-2A2139114B9C}">
      <formula1>$V$8:$V$9</formula1>
    </dataValidation>
    <dataValidation type="list" allowBlank="1" showInputMessage="1" showErrorMessage="1" sqref="V171:V172" xr:uid="{7DF95477-F74B-405B-B88D-EF1A753BB3B4}">
      <formula1>$X$8:$X$9</formula1>
    </dataValidation>
  </dataValidations>
  <pageMargins left="0" right="0.70866141732283472" top="0" bottom="0" header="0" footer="0.31496062992125984"/>
  <pageSetup paperSize="9" scale="25" fitToHeight="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C227D3-4F68-4A27-92F0-7D315B2A1356}">
  <sheetPr>
    <pageSetUpPr fitToPage="1"/>
  </sheetPr>
  <dimension ref="A1:Q97"/>
  <sheetViews>
    <sheetView view="pageBreakPreview" topLeftCell="E1" zoomScale="110" zoomScaleNormal="100" zoomScaleSheetLayoutView="110" workbookViewId="0">
      <selection activeCell="M97" sqref="E1:M97"/>
    </sheetView>
  </sheetViews>
  <sheetFormatPr defaultRowHeight="12" outlineLevelCol="1" x14ac:dyDescent="0.25"/>
  <cols>
    <col min="1" max="3" width="10.7109375" style="488" hidden="1" customWidth="1"/>
    <col min="4" max="4" width="4.140625" style="488" hidden="1" customWidth="1"/>
    <col min="5" max="5" width="9.5703125" style="488" customWidth="1"/>
    <col min="6" max="6" width="10.42578125" style="488" customWidth="1"/>
    <col min="7" max="7" width="63.5703125" style="488" customWidth="1"/>
    <col min="8" max="8" width="13.5703125" style="488" customWidth="1"/>
    <col min="9" max="11" width="10.5703125" style="488" customWidth="1"/>
    <col min="12" max="13" width="10.5703125" style="488" customWidth="1" outlineLevel="1"/>
    <col min="14" max="14" width="23.5703125" style="488" customWidth="1"/>
    <col min="15" max="15" width="9.7109375" style="488" customWidth="1"/>
    <col min="16" max="16384" width="9.140625" style="488"/>
  </cols>
  <sheetData>
    <row r="1" spans="4:14" ht="18.75" customHeight="1" x14ac:dyDescent="0.25">
      <c r="J1" s="489" t="s">
        <v>558</v>
      </c>
      <c r="K1" s="490"/>
      <c r="L1" s="489"/>
      <c r="M1" s="491"/>
    </row>
    <row r="2" spans="4:14" ht="18.75" customHeight="1" x14ac:dyDescent="0.25">
      <c r="J2" s="489" t="s">
        <v>339</v>
      </c>
      <c r="K2" s="489"/>
      <c r="L2" s="489"/>
      <c r="M2" s="491"/>
    </row>
    <row r="3" spans="4:14" ht="18.75" customHeight="1" x14ac:dyDescent="0.25">
      <c r="J3" s="489" t="s">
        <v>340</v>
      </c>
      <c r="K3" s="489"/>
      <c r="L3" s="489"/>
      <c r="M3" s="491"/>
    </row>
    <row r="4" spans="4:14" ht="34.5" customHeight="1" x14ac:dyDescent="0.25">
      <c r="J4" s="718" t="s">
        <v>341</v>
      </c>
      <c r="K4" s="718"/>
      <c r="L4" s="718"/>
      <c r="M4" s="718"/>
    </row>
    <row r="5" spans="4:14" ht="18.75" customHeight="1" x14ac:dyDescent="0.25">
      <c r="J5" s="489" t="s">
        <v>548</v>
      </c>
      <c r="K5" s="490"/>
      <c r="L5" s="489"/>
      <c r="M5" s="491"/>
    </row>
    <row r="6" spans="4:14" ht="18.75" customHeight="1" x14ac:dyDescent="0.25">
      <c r="J6" s="489" t="s">
        <v>339</v>
      </c>
      <c r="K6" s="489"/>
      <c r="L6" s="489"/>
      <c r="M6" s="491"/>
    </row>
    <row r="7" spans="4:14" ht="18.75" customHeight="1" x14ac:dyDescent="0.25">
      <c r="J7" s="489" t="s">
        <v>340</v>
      </c>
      <c r="K7" s="489"/>
      <c r="L7" s="489"/>
      <c r="M7" s="491"/>
    </row>
    <row r="8" spans="4:14" ht="18.75" customHeight="1" x14ac:dyDescent="0.25">
      <c r="J8" s="669" t="s">
        <v>559</v>
      </c>
      <c r="K8" s="669"/>
      <c r="L8" s="669"/>
      <c r="M8" s="669"/>
    </row>
    <row r="9" spans="4:14" ht="15.75" customHeight="1" x14ac:dyDescent="0.25"/>
    <row r="10" spans="4:14" ht="4.5" customHeight="1" x14ac:dyDescent="0.25"/>
    <row r="11" spans="4:14" ht="18" customHeight="1" x14ac:dyDescent="0.25">
      <c r="F11" s="719" t="s">
        <v>549</v>
      </c>
      <c r="G11" s="719"/>
      <c r="H11" s="719"/>
      <c r="I11" s="719"/>
      <c r="J11" s="719"/>
      <c r="K11" s="719"/>
      <c r="L11" s="719"/>
      <c r="M11" s="719"/>
      <c r="N11" s="229"/>
    </row>
    <row r="12" spans="4:14" ht="15.75" customHeight="1" x14ac:dyDescent="0.25">
      <c r="D12" s="492"/>
      <c r="F12" s="709" t="s">
        <v>342</v>
      </c>
      <c r="G12" s="709"/>
      <c r="H12" s="709"/>
      <c r="I12" s="709"/>
      <c r="J12" s="709"/>
      <c r="K12" s="709"/>
      <c r="L12" s="709"/>
      <c r="M12" s="709"/>
    </row>
    <row r="13" spans="4:14" ht="15.75" customHeight="1" x14ac:dyDescent="0.25">
      <c r="D13" s="492"/>
      <c r="F13" s="710" t="s">
        <v>343</v>
      </c>
      <c r="G13" s="711"/>
      <c r="H13" s="712" t="s">
        <v>550</v>
      </c>
      <c r="I13" s="712"/>
      <c r="J13" s="712"/>
      <c r="K13" s="712"/>
      <c r="L13" s="712"/>
      <c r="M13" s="712"/>
    </row>
    <row r="14" spans="4:14" ht="18" customHeight="1" x14ac:dyDescent="0.25">
      <c r="D14" s="492"/>
      <c r="F14" s="713" t="s">
        <v>344</v>
      </c>
      <c r="G14" s="714"/>
      <c r="H14" s="712" t="s">
        <v>551</v>
      </c>
      <c r="I14" s="712"/>
      <c r="J14" s="712"/>
      <c r="K14" s="712"/>
      <c r="L14" s="712"/>
      <c r="M14" s="712"/>
    </row>
    <row r="15" spans="4:14" ht="15.75" customHeight="1" x14ac:dyDescent="0.25">
      <c r="D15" s="492"/>
      <c r="F15" s="710" t="s">
        <v>345</v>
      </c>
      <c r="G15" s="711"/>
      <c r="H15" s="712" t="s">
        <v>346</v>
      </c>
      <c r="I15" s="712"/>
      <c r="J15" s="712"/>
      <c r="K15" s="712"/>
      <c r="L15" s="712"/>
      <c r="M15" s="712"/>
    </row>
    <row r="16" spans="4:14" ht="15.75" customHeight="1" x14ac:dyDescent="0.25">
      <c r="D16" s="492"/>
      <c r="F16" s="713" t="s">
        <v>344</v>
      </c>
      <c r="G16" s="714"/>
      <c r="H16" s="712" t="s">
        <v>347</v>
      </c>
      <c r="I16" s="712"/>
      <c r="J16" s="712"/>
      <c r="K16" s="712"/>
      <c r="L16" s="712"/>
      <c r="M16" s="712"/>
    </row>
    <row r="17" spans="2:14" ht="15.75" customHeight="1" x14ac:dyDescent="0.25">
      <c r="D17" s="492"/>
      <c r="F17" s="710" t="s">
        <v>348</v>
      </c>
      <c r="G17" s="710"/>
      <c r="H17" s="715" t="s">
        <v>349</v>
      </c>
      <c r="I17" s="715"/>
      <c r="J17" s="715"/>
      <c r="K17" s="715"/>
      <c r="L17" s="715"/>
      <c r="M17" s="715"/>
    </row>
    <row r="18" spans="2:14" ht="36.75" customHeight="1" x14ac:dyDescent="0.2">
      <c r="B18" s="230" t="b">
        <f>REGULATION_METHODS&lt;&gt;"Метод сравнения аналогов"</f>
        <v>1</v>
      </c>
      <c r="D18" s="492"/>
      <c r="F18" s="679" t="s">
        <v>350</v>
      </c>
      <c r="G18" s="679"/>
      <c r="H18" s="679"/>
      <c r="I18" s="679"/>
      <c r="J18" s="679"/>
      <c r="K18" s="679"/>
      <c r="L18" s="679"/>
      <c r="M18" s="679"/>
    </row>
    <row r="19" spans="2:14" ht="11.25" customHeight="1" x14ac:dyDescent="0.2">
      <c r="B19" s="230" t="e">
        <f>#REF!</f>
        <v>#REF!</v>
      </c>
      <c r="D19" s="492"/>
      <c r="F19" s="690" t="s">
        <v>351</v>
      </c>
      <c r="G19" s="691" t="s">
        <v>352</v>
      </c>
      <c r="H19" s="716" t="s">
        <v>353</v>
      </c>
      <c r="I19" s="692" t="s">
        <v>354</v>
      </c>
      <c r="J19" s="693"/>
      <c r="K19" s="693"/>
      <c r="L19" s="693"/>
      <c r="M19" s="693"/>
    </row>
    <row r="20" spans="2:14" ht="11.25" customHeight="1" x14ac:dyDescent="0.2">
      <c r="B20" s="230" t="b">
        <f>B18</f>
        <v>1</v>
      </c>
      <c r="D20" s="492"/>
      <c r="F20" s="690"/>
      <c r="G20" s="707"/>
      <c r="H20" s="717"/>
      <c r="I20" s="482" t="s">
        <v>355</v>
      </c>
      <c r="J20" s="482" t="s">
        <v>356</v>
      </c>
      <c r="K20" s="482" t="s">
        <v>357</v>
      </c>
      <c r="L20" s="482" t="s">
        <v>358</v>
      </c>
      <c r="M20" s="483" t="s">
        <v>359</v>
      </c>
    </row>
    <row r="21" spans="2:14" ht="26.25" customHeight="1" x14ac:dyDescent="0.2">
      <c r="B21" s="230" t="e">
        <f>#REF!</f>
        <v>#REF!</v>
      </c>
      <c r="D21" s="492"/>
      <c r="F21" s="485">
        <v>1</v>
      </c>
      <c r="G21" s="231" t="s">
        <v>360</v>
      </c>
      <c r="H21" s="484" t="s">
        <v>123</v>
      </c>
      <c r="I21" s="232">
        <f>'[18]Расчет тарифа мет. инд. 5 лет'!AA28+'[18]Расчет тарифа мет. инд. 5 лет'!AA31+'[18]Расчет тарифа мет. инд. 5 лет'!AA50</f>
        <v>1040.8182085441879</v>
      </c>
      <c r="J21" s="232">
        <f>I21*1.058*0.99</f>
        <v>1090.1738079933534</v>
      </c>
      <c r="K21" s="232">
        <f>'[18]Расчет тарифа мет. инд. 5 лет'!AK50+'[18]Расчет тарифа мет. инд. 5 лет'!AK31+'[18]Расчет тарифа мет. инд. 5 лет'!AK28</f>
        <v>1105.4683900980863</v>
      </c>
      <c r="L21" s="232">
        <f>'[18]Расчет тарифа мет. инд. 5 лет'!AP28+'[18]Расчет тарифа мет. инд. 5 лет'!AP31+'[18]Расчет тарифа мет. инд. 5 лет'!AP50</f>
        <v>1138.1902544449895</v>
      </c>
      <c r="M21" s="232">
        <f>'[18]Расчет тарифа мет. инд. 5 лет'!AU28+'[18]Расчет тарифа мет. инд. 5 лет'!AU31+'[18]Расчет тарифа мет. инд. 5 лет'!AU50</f>
        <v>1171.8806859765612</v>
      </c>
      <c r="N21" s="488" t="s">
        <v>552</v>
      </c>
    </row>
    <row r="22" spans="2:14" ht="36.75" customHeight="1" x14ac:dyDescent="0.2">
      <c r="B22" s="230"/>
      <c r="D22" s="492"/>
      <c r="F22" s="485" t="s">
        <v>108</v>
      </c>
      <c r="G22" s="493" t="s">
        <v>361</v>
      </c>
      <c r="H22" s="484" t="s">
        <v>123</v>
      </c>
      <c r="I22" s="232">
        <v>0</v>
      </c>
      <c r="J22" s="232">
        <v>0</v>
      </c>
      <c r="K22" s="232">
        <v>0</v>
      </c>
      <c r="L22" s="232">
        <v>0</v>
      </c>
      <c r="M22" s="494">
        <v>0</v>
      </c>
    </row>
    <row r="23" spans="2:14" ht="27" customHeight="1" x14ac:dyDescent="0.2">
      <c r="B23" s="230" t="e">
        <f>B21</f>
        <v>#REF!</v>
      </c>
      <c r="D23" s="492"/>
      <c r="F23" s="485" t="s">
        <v>137</v>
      </c>
      <c r="G23" s="231" t="s">
        <v>362</v>
      </c>
      <c r="H23" s="484" t="s">
        <v>123</v>
      </c>
      <c r="I23" s="232">
        <f>'[18]Расчет тарифа мет. инд. 5 лет'!AA47</f>
        <v>227.66450949120002</v>
      </c>
      <c r="J23" s="232">
        <f>I23*1.058*0.99</f>
        <v>238.46036053127273</v>
      </c>
      <c r="K23" s="232">
        <f>'[18]Расчет тарифа мет. инд. 5 лет'!AK47</f>
        <v>241.80583768007975</v>
      </c>
      <c r="L23" s="232">
        <f>'[18]Расчет тарифа мет. инд. 5 лет'!AP47</f>
        <v>248.9632904754101</v>
      </c>
      <c r="M23" s="232">
        <f>'[18]Расчет тарифа мет. инд. 5 лет'!AU47</f>
        <v>256.3326038734823</v>
      </c>
      <c r="N23" s="495" t="s">
        <v>553</v>
      </c>
    </row>
    <row r="24" spans="2:14" ht="14.25" customHeight="1" x14ac:dyDescent="0.2">
      <c r="B24" s="230" t="b">
        <v>1</v>
      </c>
      <c r="D24" s="492"/>
      <c r="F24" s="709" t="s">
        <v>363</v>
      </c>
      <c r="G24" s="709"/>
      <c r="H24" s="709"/>
      <c r="I24" s="709"/>
      <c r="J24" s="709"/>
      <c r="K24" s="709"/>
      <c r="L24" s="709"/>
      <c r="M24" s="709"/>
    </row>
    <row r="25" spans="2:14" ht="11.25" customHeight="1" x14ac:dyDescent="0.2">
      <c r="B25" s="230" t="e">
        <f>#REF!</f>
        <v>#REF!</v>
      </c>
      <c r="C25" s="230" t="e">
        <f>INDEX([2]Тарифы!$AC$86:$AC$99,MATCH(#REF!,[2]Тарифы!$Y$86:$Y$99,0))</f>
        <v>#REF!</v>
      </c>
      <c r="D25" s="492"/>
      <c r="F25" s="702" t="s">
        <v>351</v>
      </c>
      <c r="G25" s="703" t="s">
        <v>364</v>
      </c>
      <c r="H25" s="690" t="s">
        <v>353</v>
      </c>
      <c r="I25" s="692" t="s">
        <v>365</v>
      </c>
      <c r="J25" s="693"/>
      <c r="K25" s="693"/>
      <c r="L25" s="693"/>
      <c r="M25" s="694"/>
    </row>
    <row r="26" spans="2:14" ht="11.25" customHeight="1" x14ac:dyDescent="0.2">
      <c r="B26" s="230" t="e">
        <f>B25</f>
        <v>#REF!</v>
      </c>
      <c r="D26" s="492"/>
      <c r="F26" s="702"/>
      <c r="G26" s="704"/>
      <c r="H26" s="690"/>
      <c r="I26" s="482" t="s">
        <v>355</v>
      </c>
      <c r="J26" s="482" t="s">
        <v>356</v>
      </c>
      <c r="K26" s="482" t="s">
        <v>357</v>
      </c>
      <c r="L26" s="482" t="s">
        <v>358</v>
      </c>
      <c r="M26" s="482" t="s">
        <v>359</v>
      </c>
    </row>
    <row r="27" spans="2:14" ht="22.5" customHeight="1" x14ac:dyDescent="0.2">
      <c r="B27" s="230" t="e">
        <f>B26</f>
        <v>#REF!</v>
      </c>
      <c r="D27" s="233">
        <f>'[2]Объемы ВО'!G36</f>
        <v>0</v>
      </c>
      <c r="E27" s="234"/>
      <c r="F27" s="485">
        <v>1</v>
      </c>
      <c r="G27" s="231" t="s">
        <v>366</v>
      </c>
      <c r="H27" s="235" t="s">
        <v>367</v>
      </c>
      <c r="I27" s="232">
        <f>I28</f>
        <v>21.519808000000001</v>
      </c>
      <c r="J27" s="232">
        <f t="shared" ref="J27:M27" si="0">J28</f>
        <v>21.519808000000001</v>
      </c>
      <c r="K27" s="232">
        <f t="shared" si="0"/>
        <v>21.519808000000001</v>
      </c>
      <c r="L27" s="232">
        <f t="shared" si="0"/>
        <v>21.519808000000001</v>
      </c>
      <c r="M27" s="232">
        <f t="shared" si="0"/>
        <v>21.519808000000001</v>
      </c>
    </row>
    <row r="28" spans="2:14" ht="11.25" customHeight="1" x14ac:dyDescent="0.2">
      <c r="B28" s="230" t="e">
        <f>#REF!</f>
        <v>#REF!</v>
      </c>
      <c r="D28" s="233">
        <f>'[2]Объемы ВО'!$G$40</f>
        <v>0</v>
      </c>
      <c r="E28" s="234"/>
      <c r="F28" s="482">
        <v>2</v>
      </c>
      <c r="G28" s="231" t="s">
        <v>368</v>
      </c>
      <c r="H28" s="235" t="s">
        <v>367</v>
      </c>
      <c r="I28" s="232">
        <f>I29+I30+I31</f>
        <v>21.519808000000001</v>
      </c>
      <c r="J28" s="232">
        <f t="shared" ref="J28:J31" si="1">I28</f>
        <v>21.519808000000001</v>
      </c>
      <c r="K28" s="232">
        <f t="shared" ref="K28:K31" si="2">I28</f>
        <v>21.519808000000001</v>
      </c>
      <c r="L28" s="232">
        <f t="shared" ref="L28:L31" si="3">I28</f>
        <v>21.519808000000001</v>
      </c>
      <c r="M28" s="232">
        <f t="shared" ref="M28:M31" si="4">I28</f>
        <v>21.519808000000001</v>
      </c>
    </row>
    <row r="29" spans="2:14" ht="11.25" customHeight="1" x14ac:dyDescent="0.2">
      <c r="B29" s="230" t="e">
        <f>AND(#REF!,REGULATION_METHODS&lt;&gt;"Метод сравнения аналогов")</f>
        <v>#REF!</v>
      </c>
      <c r="D29" s="236" t="s">
        <v>369</v>
      </c>
      <c r="E29" s="237"/>
      <c r="F29" s="485" t="s">
        <v>370</v>
      </c>
      <c r="G29" s="238" t="s">
        <v>371</v>
      </c>
      <c r="H29" s="235" t="s">
        <v>367</v>
      </c>
      <c r="I29" s="232">
        <f>'[18]Расчет тарифа мет. инд. 5 лет'!AA19</f>
        <v>2.2982</v>
      </c>
      <c r="J29" s="232">
        <f t="shared" si="1"/>
        <v>2.2982</v>
      </c>
      <c r="K29" s="232">
        <f t="shared" si="2"/>
        <v>2.2982</v>
      </c>
      <c r="L29" s="232">
        <f t="shared" si="3"/>
        <v>2.2982</v>
      </c>
      <c r="M29" s="232">
        <f t="shared" si="4"/>
        <v>2.2982</v>
      </c>
    </row>
    <row r="30" spans="2:14" ht="11.25" customHeight="1" x14ac:dyDescent="0.2">
      <c r="B30" s="230" t="e">
        <f>B29</f>
        <v>#REF!</v>
      </c>
      <c r="D30" s="236" t="s">
        <v>372</v>
      </c>
      <c r="E30" s="237"/>
      <c r="F30" s="485" t="s">
        <v>373</v>
      </c>
      <c r="G30" s="238" t="s">
        <v>374</v>
      </c>
      <c r="H30" s="235" t="s">
        <v>367</v>
      </c>
      <c r="I30" s="232">
        <f>'[18]Расчет тарифа мет. инд. 5 лет'!AA21</f>
        <v>19.093328</v>
      </c>
      <c r="J30" s="232">
        <f t="shared" si="1"/>
        <v>19.093328</v>
      </c>
      <c r="K30" s="232">
        <f t="shared" si="2"/>
        <v>19.093328</v>
      </c>
      <c r="L30" s="232">
        <f t="shared" si="3"/>
        <v>19.093328</v>
      </c>
      <c r="M30" s="232">
        <f t="shared" si="4"/>
        <v>19.093328</v>
      </c>
    </row>
    <row r="31" spans="2:14" ht="12" customHeight="1" x14ac:dyDescent="0.2">
      <c r="B31" s="230" t="e">
        <f>B30</f>
        <v>#REF!</v>
      </c>
      <c r="D31" s="236" t="s">
        <v>375</v>
      </c>
      <c r="E31" s="237"/>
      <c r="F31" s="485" t="s">
        <v>376</v>
      </c>
      <c r="G31" s="238" t="s">
        <v>377</v>
      </c>
      <c r="H31" s="235" t="s">
        <v>367</v>
      </c>
      <c r="I31" s="232">
        <f>'[18]Расчет тарифа мет. инд. 5 лет'!AA20</f>
        <v>0.12828000000000001</v>
      </c>
      <c r="J31" s="232">
        <f t="shared" si="1"/>
        <v>0.12828000000000001</v>
      </c>
      <c r="K31" s="232">
        <f t="shared" si="2"/>
        <v>0.12828000000000001</v>
      </c>
      <c r="L31" s="232">
        <f t="shared" si="3"/>
        <v>0.12828000000000001</v>
      </c>
      <c r="M31" s="232">
        <f t="shared" si="4"/>
        <v>0.12828000000000001</v>
      </c>
    </row>
    <row r="32" spans="2:14" ht="18.75" customHeight="1" x14ac:dyDescent="0.2">
      <c r="B32" s="230"/>
      <c r="D32" s="236"/>
      <c r="E32" s="237"/>
      <c r="F32" s="701" t="s">
        <v>108</v>
      </c>
      <c r="G32" s="701"/>
      <c r="H32" s="701"/>
      <c r="I32" s="701"/>
      <c r="J32" s="701"/>
      <c r="K32" s="701"/>
      <c r="L32" s="701"/>
      <c r="M32" s="701"/>
    </row>
    <row r="33" spans="3:13" ht="16.5" customHeight="1" x14ac:dyDescent="0.25">
      <c r="D33" s="492"/>
      <c r="F33" s="705" t="s">
        <v>378</v>
      </c>
      <c r="G33" s="705"/>
      <c r="H33" s="705"/>
      <c r="I33" s="705"/>
      <c r="J33" s="705"/>
      <c r="K33" s="705"/>
      <c r="L33" s="705"/>
      <c r="M33" s="705"/>
    </row>
    <row r="34" spans="3:13" ht="11.25" customHeight="1" x14ac:dyDescent="0.25">
      <c r="D34" s="492"/>
      <c r="F34" s="706" t="s">
        <v>351</v>
      </c>
      <c r="G34" s="691" t="s">
        <v>379</v>
      </c>
      <c r="H34" s="690" t="s">
        <v>353</v>
      </c>
      <c r="I34" s="692" t="s">
        <v>365</v>
      </c>
      <c r="J34" s="692"/>
      <c r="K34" s="692"/>
      <c r="L34" s="692"/>
      <c r="M34" s="692"/>
    </row>
    <row r="35" spans="3:13" ht="11.25" customHeight="1" x14ac:dyDescent="0.25">
      <c r="D35" s="492"/>
      <c r="F35" s="706"/>
      <c r="G35" s="707"/>
      <c r="H35" s="690"/>
      <c r="I35" s="482" t="s">
        <v>355</v>
      </c>
      <c r="J35" s="482" t="s">
        <v>356</v>
      </c>
      <c r="K35" s="482" t="s">
        <v>357</v>
      </c>
      <c r="L35" s="482" t="s">
        <v>358</v>
      </c>
      <c r="M35" s="482" t="s">
        <v>359</v>
      </c>
    </row>
    <row r="36" spans="3:13" ht="22.5" customHeight="1" x14ac:dyDescent="0.25">
      <c r="D36" s="492"/>
      <c r="F36" s="485" t="s">
        <v>380</v>
      </c>
      <c r="G36" s="231" t="s">
        <v>381</v>
      </c>
      <c r="H36" s="484" t="s">
        <v>123</v>
      </c>
      <c r="I36" s="239">
        <f>'[18]Расчет тарифа мет. инд. 5 лет'!AA173</f>
        <v>1597.4658699496283</v>
      </c>
      <c r="J36" s="239">
        <f>'Корректировка тарифа'!U177</f>
        <v>1985.7439314952358</v>
      </c>
      <c r="K36" s="239">
        <f>'[18]Расчет тарифа мет. инд. 5 лет'!AK173</f>
        <v>2019.1381253125796</v>
      </c>
      <c r="L36" s="239">
        <f>'[18]Расчет тарифа мет. инд. 5 лет'!AP173</f>
        <v>2076.1967435802835</v>
      </c>
      <c r="M36" s="239">
        <f>'[18]Расчет тарифа мет. инд. 5 лет'!AU173</f>
        <v>2075.6820644628406</v>
      </c>
    </row>
    <row r="37" spans="3:13" ht="11.25" customHeight="1" x14ac:dyDescent="0.25">
      <c r="D37" s="492"/>
      <c r="F37" s="485" t="s">
        <v>12</v>
      </c>
      <c r="G37" s="240" t="s">
        <v>30</v>
      </c>
      <c r="H37" s="484" t="s">
        <v>123</v>
      </c>
      <c r="I37" s="239">
        <f>'[18]Расчет тарифа мет. инд. 5 лет'!AA25</f>
        <v>1776.4196593797731</v>
      </c>
      <c r="J37" s="239">
        <f>'Корректировка тарифа'!U24</f>
        <v>1860.657479627562</v>
      </c>
      <c r="K37" s="239">
        <f>'[18]Расчет тарифа мет. инд. 5 лет'!AK25</f>
        <v>1886.761554392787</v>
      </c>
      <c r="L37" s="239">
        <f>'[18]Расчет тарифа мет. инд. 5 лет'!AP25</f>
        <v>1942.6096964028138</v>
      </c>
      <c r="M37" s="239">
        <f>'[18]Расчет тарифа мет. инд. 5 лет'!AU25</f>
        <v>2000.110943416337</v>
      </c>
    </row>
    <row r="38" spans="3:13" ht="11.25" customHeight="1" x14ac:dyDescent="0.25">
      <c r="D38" s="492"/>
      <c r="F38" s="485" t="s">
        <v>23</v>
      </c>
      <c r="G38" s="240" t="s">
        <v>109</v>
      </c>
      <c r="H38" s="484" t="s">
        <v>123</v>
      </c>
      <c r="I38" s="239">
        <f>'[18]Расчет тарифа мет. инд. 5 лет'!AA74</f>
        <v>24.244</v>
      </c>
      <c r="J38" s="239">
        <f>'Корректировка тарифа'!U73</f>
        <v>26.884000000000004</v>
      </c>
      <c r="K38" s="239">
        <f>'[18]Расчет тарифа мет. инд. 5 лет'!AK74</f>
        <v>25.595603000000001</v>
      </c>
      <c r="L38" s="239">
        <f>'[18]Расчет тарифа мет. инд. 5 лет'!AP74</f>
        <v>26.235493074999997</v>
      </c>
      <c r="M38" s="239">
        <f>'[18]Расчет тарифа мет. инд. 5 лет'!AU74</f>
        <v>26.891380401874994</v>
      </c>
    </row>
    <row r="39" spans="3:13" ht="15" customHeight="1" x14ac:dyDescent="0.2">
      <c r="C39" s="230" t="str">
        <f>[2]Тарифы!$X$87</f>
        <v>1ВО::1.1</v>
      </c>
      <c r="D39" s="492"/>
      <c r="F39" s="496" t="s">
        <v>382</v>
      </c>
      <c r="G39" s="231" t="s">
        <v>383</v>
      </c>
      <c r="H39" s="484" t="s">
        <v>123</v>
      </c>
      <c r="I39" s="241">
        <f>I22</f>
        <v>0</v>
      </c>
      <c r="J39" s="241">
        <f>J22</f>
        <v>0</v>
      </c>
      <c r="K39" s="241">
        <f>K22</f>
        <v>0</v>
      </c>
      <c r="L39" s="241">
        <f>L22</f>
        <v>0</v>
      </c>
      <c r="M39" s="241">
        <f t="shared" ref="M39" si="5">M22</f>
        <v>0</v>
      </c>
    </row>
    <row r="40" spans="3:13" ht="15" customHeight="1" x14ac:dyDescent="0.25">
      <c r="D40" s="492"/>
      <c r="F40" s="496" t="s">
        <v>384</v>
      </c>
      <c r="G40" s="497" t="s">
        <v>385</v>
      </c>
      <c r="H40" s="484" t="s">
        <v>123</v>
      </c>
      <c r="I40" s="498">
        <f>I36+I39</f>
        <v>1597.4658699496283</v>
      </c>
      <c r="J40" s="498">
        <f t="shared" ref="J40:M40" si="6">J36+J39</f>
        <v>1985.7439314952358</v>
      </c>
      <c r="K40" s="498">
        <f t="shared" si="6"/>
        <v>2019.1381253125796</v>
      </c>
      <c r="L40" s="498">
        <f t="shared" si="6"/>
        <v>2076.1967435802835</v>
      </c>
      <c r="M40" s="498">
        <f t="shared" si="6"/>
        <v>2075.6820644628406</v>
      </c>
    </row>
    <row r="41" spans="3:13" ht="18" customHeight="1" x14ac:dyDescent="0.25">
      <c r="D41" s="492"/>
      <c r="F41" s="708" t="s">
        <v>386</v>
      </c>
      <c r="G41" s="708"/>
      <c r="H41" s="708"/>
      <c r="I41" s="708"/>
      <c r="J41" s="708"/>
      <c r="K41" s="708"/>
      <c r="L41" s="708"/>
      <c r="M41" s="708"/>
    </row>
    <row r="42" spans="3:13" ht="11.25" customHeight="1" x14ac:dyDescent="0.25">
      <c r="D42" s="492"/>
      <c r="F42" s="485" t="s">
        <v>351</v>
      </c>
      <c r="G42" s="483" t="s">
        <v>387</v>
      </c>
      <c r="H42" s="693" t="s">
        <v>388</v>
      </c>
      <c r="I42" s="693"/>
      <c r="J42" s="693"/>
      <c r="K42" s="693"/>
      <c r="L42" s="693"/>
      <c r="M42" s="693"/>
    </row>
    <row r="43" spans="3:13" ht="25.5" customHeight="1" x14ac:dyDescent="0.25">
      <c r="D43" s="492"/>
      <c r="F43" s="485" t="s">
        <v>380</v>
      </c>
      <c r="G43" s="231" t="str">
        <f>G21</f>
        <v>Текущий и капитальный ремонт и обслуживание объектов централизованной системы водоотведения за счет тарифных источников</v>
      </c>
      <c r="H43" s="680" t="str">
        <f>H17</f>
        <v>с 01.01.2024 по 31.12.2028</v>
      </c>
      <c r="I43" s="681"/>
      <c r="J43" s="681"/>
      <c r="K43" s="681"/>
      <c r="L43" s="681"/>
      <c r="M43" s="682"/>
    </row>
    <row r="44" spans="3:13" ht="36" customHeight="1" x14ac:dyDescent="0.25">
      <c r="D44" s="492"/>
      <c r="F44" s="485" t="s">
        <v>108</v>
      </c>
      <c r="G44" s="231" t="str">
        <f>G22</f>
        <v>Текущий и капитальный ремонт и обслуживание объектов централизованной системы водоотведения за счет платы за негативное воздействие на централизованную систему водоотведения</v>
      </c>
      <c r="H44" s="683"/>
      <c r="I44" s="684"/>
      <c r="J44" s="684"/>
      <c r="K44" s="684"/>
      <c r="L44" s="684"/>
      <c r="M44" s="685"/>
    </row>
    <row r="45" spans="3:13" ht="29.25" customHeight="1" x14ac:dyDescent="0.25">
      <c r="D45" s="492"/>
      <c r="F45" s="496">
        <v>3</v>
      </c>
      <c r="G45" s="231" t="s">
        <v>362</v>
      </c>
      <c r="H45" s="686"/>
      <c r="I45" s="687"/>
      <c r="J45" s="687"/>
      <c r="K45" s="687"/>
      <c r="L45" s="687"/>
      <c r="M45" s="688"/>
    </row>
    <row r="46" spans="3:13" ht="54.75" customHeight="1" x14ac:dyDescent="0.25">
      <c r="D46" s="492"/>
      <c r="F46" s="689" t="s">
        <v>389</v>
      </c>
      <c r="G46" s="689"/>
      <c r="H46" s="689"/>
      <c r="I46" s="689"/>
      <c r="J46" s="689"/>
      <c r="K46" s="689"/>
      <c r="L46" s="689"/>
      <c r="M46" s="689"/>
    </row>
    <row r="47" spans="3:13" ht="12" customHeight="1" x14ac:dyDescent="0.25">
      <c r="D47" s="492"/>
      <c r="F47" s="690" t="s">
        <v>351</v>
      </c>
      <c r="G47" s="691" t="s">
        <v>379</v>
      </c>
      <c r="H47" s="690" t="s">
        <v>353</v>
      </c>
      <c r="I47" s="692" t="s">
        <v>365</v>
      </c>
      <c r="J47" s="693"/>
      <c r="K47" s="693"/>
      <c r="L47" s="693"/>
      <c r="M47" s="694"/>
    </row>
    <row r="48" spans="3:13" ht="14.25" customHeight="1" x14ac:dyDescent="0.25">
      <c r="D48" s="492"/>
      <c r="F48" s="690"/>
      <c r="G48" s="691"/>
      <c r="H48" s="690"/>
      <c r="I48" s="496" t="s">
        <v>355</v>
      </c>
      <c r="J48" s="496" t="s">
        <v>356</v>
      </c>
      <c r="K48" s="496" t="s">
        <v>357</v>
      </c>
      <c r="L48" s="496" t="s">
        <v>358</v>
      </c>
      <c r="M48" s="496" t="s">
        <v>359</v>
      </c>
    </row>
    <row r="49" spans="2:13" ht="12" customHeight="1" x14ac:dyDescent="0.2">
      <c r="B49" s="230" t="e">
        <f>OR(B50,#REF!,B51)</f>
        <v>#REF!</v>
      </c>
      <c r="C49" s="230" t="e">
        <f>#REF!</f>
        <v>#REF!</v>
      </c>
      <c r="D49" s="492"/>
      <c r="F49" s="242">
        <v>1</v>
      </c>
      <c r="G49" s="676" t="s">
        <v>390</v>
      </c>
      <c r="H49" s="677"/>
      <c r="I49" s="677"/>
      <c r="J49" s="677"/>
      <c r="K49" s="677"/>
      <c r="L49" s="677"/>
      <c r="M49" s="677"/>
    </row>
    <row r="50" spans="2:13" ht="11.25" customHeight="1" x14ac:dyDescent="0.2">
      <c r="B50" s="230" t="e">
        <f>AND(C49="Водоотведение",OR(region_name&lt;&gt;"Ленинградская область",C50&lt;&gt;"Тариф на транспортировку сточных вод"))</f>
        <v>#REF!</v>
      </c>
      <c r="C50" s="230" t="e">
        <f>#REF!</f>
        <v>#REF!</v>
      </c>
      <c r="D50" s="492"/>
      <c r="F50" s="243" t="s">
        <v>12</v>
      </c>
      <c r="G50" s="238" t="s">
        <v>391</v>
      </c>
      <c r="H50" s="244" t="s">
        <v>46</v>
      </c>
      <c r="I50" s="437">
        <v>0.1</v>
      </c>
      <c r="J50" s="437">
        <v>0.1</v>
      </c>
      <c r="K50" s="437">
        <v>0.1</v>
      </c>
      <c r="L50" s="437">
        <v>0.1</v>
      </c>
      <c r="M50" s="437">
        <v>0</v>
      </c>
    </row>
    <row r="51" spans="2:13" ht="12.75" customHeight="1" x14ac:dyDescent="0.2">
      <c r="B51" s="230" t="e">
        <f>AND(C49="Водоотведение",OR(region_name&lt;&gt;"Ленинградская область",C50&lt;&gt;"Тариф на транспортировку сточных вод"))</f>
        <v>#REF!</v>
      </c>
      <c r="D51" s="492"/>
      <c r="F51" s="484" t="s">
        <v>23</v>
      </c>
      <c r="G51" s="238" t="s">
        <v>392</v>
      </c>
      <c r="H51" s="244" t="s">
        <v>46</v>
      </c>
      <c r="I51" s="437">
        <f>'[19]КиН из заключения'!E5</f>
        <v>0</v>
      </c>
      <c r="J51" s="437">
        <f>'[19]КиН из заключения'!F5</f>
        <v>0</v>
      </c>
      <c r="K51" s="437">
        <f>'[19]КиН из заключения'!G5</f>
        <v>0</v>
      </c>
      <c r="L51" s="437">
        <v>0</v>
      </c>
      <c r="M51" s="437">
        <v>0</v>
      </c>
    </row>
    <row r="52" spans="2:13" ht="17.25" customHeight="1" x14ac:dyDescent="0.2">
      <c r="B52" s="230" t="e">
        <f>B53</f>
        <v>#REF!</v>
      </c>
      <c r="D52" s="492"/>
      <c r="F52" s="484">
        <v>2</v>
      </c>
      <c r="G52" s="676" t="s">
        <v>393</v>
      </c>
      <c r="H52" s="677"/>
      <c r="I52" s="677"/>
      <c r="J52" s="677"/>
      <c r="K52" s="677"/>
      <c r="L52" s="677"/>
      <c r="M52" s="677"/>
    </row>
    <row r="53" spans="2:13" ht="12" customHeight="1" x14ac:dyDescent="0.2">
      <c r="B53" s="230" t="e">
        <f>C49="Водоотведение"</f>
        <v>#REF!</v>
      </c>
      <c r="D53" s="492"/>
      <c r="F53" s="484" t="s">
        <v>370</v>
      </c>
      <c r="G53" s="245" t="s">
        <v>394</v>
      </c>
      <c r="H53" s="244" t="s">
        <v>395</v>
      </c>
      <c r="I53" s="437">
        <v>0.6</v>
      </c>
      <c r="J53" s="437">
        <v>0.6</v>
      </c>
      <c r="K53" s="437">
        <v>0.5</v>
      </c>
      <c r="L53" s="437">
        <v>0.5</v>
      </c>
      <c r="M53" s="437">
        <v>0.4</v>
      </c>
    </row>
    <row r="54" spans="2:13" ht="13.5" customHeight="1" x14ac:dyDescent="0.2">
      <c r="B54" s="230" t="e">
        <f>OR(B55,#REF!)</f>
        <v>#REF!</v>
      </c>
      <c r="D54" s="492"/>
      <c r="F54" s="484">
        <v>3</v>
      </c>
      <c r="G54" s="676" t="s">
        <v>396</v>
      </c>
      <c r="H54" s="677"/>
      <c r="I54" s="677"/>
      <c r="J54" s="677"/>
      <c r="K54" s="677"/>
      <c r="L54" s="677"/>
      <c r="M54" s="677"/>
    </row>
    <row r="55" spans="2:13" ht="16.5" customHeight="1" x14ac:dyDescent="0.2">
      <c r="B55" s="230" t="e">
        <f>AND(C49="Водоотведение",C50&lt;&gt;"Тариф на транспортировку сточных вод")</f>
        <v>#REF!</v>
      </c>
      <c r="D55" s="492"/>
      <c r="F55" s="484" t="s">
        <v>139</v>
      </c>
      <c r="G55" s="245" t="s">
        <v>397</v>
      </c>
      <c r="H55" s="246" t="s">
        <v>398</v>
      </c>
      <c r="I55" s="437">
        <f>'[18]Расчет тарифа мет. инд. 5 лет'!AA199</f>
        <v>0.10223139537304422</v>
      </c>
      <c r="J55" s="437">
        <f>I55</f>
        <v>0.10223139537304422</v>
      </c>
      <c r="K55" s="437">
        <f>J55</f>
        <v>0.10223139537304422</v>
      </c>
      <c r="L55" s="437">
        <f>K55</f>
        <v>0.10223139537304422</v>
      </c>
      <c r="M55" s="437">
        <f>L55</f>
        <v>0.10223139537304422</v>
      </c>
    </row>
    <row r="56" spans="2:13" ht="16.5" customHeight="1" x14ac:dyDescent="0.2">
      <c r="B56" s="230"/>
      <c r="D56" s="492"/>
      <c r="F56" s="701" t="s">
        <v>137</v>
      </c>
      <c r="G56" s="701"/>
      <c r="H56" s="701"/>
      <c r="I56" s="701"/>
      <c r="J56" s="701"/>
      <c r="K56" s="701"/>
      <c r="L56" s="701"/>
      <c r="M56" s="701"/>
    </row>
    <row r="57" spans="2:13" ht="30.75" customHeight="1" x14ac:dyDescent="0.2">
      <c r="B57" s="230" t="b">
        <v>1</v>
      </c>
      <c r="D57" s="492"/>
      <c r="F57" s="679" t="s">
        <v>399</v>
      </c>
      <c r="G57" s="679"/>
      <c r="H57" s="679"/>
      <c r="I57" s="679"/>
      <c r="J57" s="679"/>
      <c r="K57" s="679"/>
      <c r="L57" s="679"/>
      <c r="M57" s="679"/>
    </row>
    <row r="58" spans="2:13" ht="12" customHeight="1" x14ac:dyDescent="0.2">
      <c r="B58" s="230" t="b">
        <v>1</v>
      </c>
      <c r="D58" s="247"/>
      <c r="E58" s="248"/>
      <c r="F58" s="702" t="s">
        <v>351</v>
      </c>
      <c r="G58" s="690" t="s">
        <v>379</v>
      </c>
      <c r="H58" s="690" t="s">
        <v>353</v>
      </c>
      <c r="I58" s="690" t="s">
        <v>400</v>
      </c>
      <c r="J58" s="690"/>
      <c r="K58" s="690"/>
      <c r="L58" s="690"/>
      <c r="M58" s="690"/>
    </row>
    <row r="59" spans="2:13" ht="13.5" customHeight="1" x14ac:dyDescent="0.2">
      <c r="B59" s="230" t="b">
        <v>1</v>
      </c>
      <c r="D59" s="247"/>
      <c r="E59" s="248"/>
      <c r="F59" s="702"/>
      <c r="G59" s="690"/>
      <c r="H59" s="690"/>
      <c r="I59" s="482" t="s">
        <v>355</v>
      </c>
      <c r="J59" s="482" t="s">
        <v>356</v>
      </c>
      <c r="K59" s="482" t="s">
        <v>357</v>
      </c>
      <c r="L59" s="482" t="s">
        <v>358</v>
      </c>
      <c r="M59" s="482" t="s">
        <v>359</v>
      </c>
    </row>
    <row r="60" spans="2:13" ht="18.75" customHeight="1" x14ac:dyDescent="0.2">
      <c r="B60" s="230" t="e">
        <f>B49</f>
        <v>#REF!</v>
      </c>
      <c r="C60" s="230" t="e">
        <f>#REF!</f>
        <v>#REF!</v>
      </c>
      <c r="D60" s="249"/>
      <c r="E60" s="250"/>
      <c r="F60" s="242">
        <v>1</v>
      </c>
      <c r="G60" s="676" t="s">
        <v>390</v>
      </c>
      <c r="H60" s="677"/>
      <c r="I60" s="677"/>
      <c r="J60" s="677"/>
      <c r="K60" s="677"/>
      <c r="L60" s="677"/>
      <c r="M60" s="678"/>
    </row>
    <row r="61" spans="2:13" ht="13.5" customHeight="1" x14ac:dyDescent="0.2">
      <c r="B61" s="230" t="e">
        <f>B50</f>
        <v>#REF!</v>
      </c>
      <c r="D61" s="249"/>
      <c r="E61" s="250"/>
      <c r="F61" s="243" t="s">
        <v>12</v>
      </c>
      <c r="G61" s="238" t="s">
        <v>391</v>
      </c>
      <c r="H61" s="244" t="s">
        <v>46</v>
      </c>
      <c r="I61" s="232">
        <f>I50</f>
        <v>0.1</v>
      </c>
      <c r="J61" s="232">
        <f>J50</f>
        <v>0.1</v>
      </c>
      <c r="K61" s="232">
        <f>K50</f>
        <v>0.1</v>
      </c>
      <c r="L61" s="232">
        <f>L50</f>
        <v>0.1</v>
      </c>
      <c r="M61" s="232">
        <f>M50</f>
        <v>0</v>
      </c>
    </row>
    <row r="62" spans="2:13" ht="13.5" customHeight="1" x14ac:dyDescent="0.2">
      <c r="B62" s="230" t="e">
        <f>B61</f>
        <v>#REF!</v>
      </c>
      <c r="D62" s="249"/>
      <c r="E62" s="250"/>
      <c r="F62" s="243"/>
      <c r="G62" s="251" t="s">
        <v>401</v>
      </c>
      <c r="H62" s="244" t="s">
        <v>46</v>
      </c>
      <c r="I62" s="499" t="s">
        <v>266</v>
      </c>
      <c r="J62" s="232">
        <f>IF(I61=0,0,(J61-I61)/I61*100)</f>
        <v>0</v>
      </c>
      <c r="K62" s="232">
        <f>IF(J61=0,0,(K61-J61)/J61*100)</f>
        <v>0</v>
      </c>
      <c r="L62" s="232">
        <f>IF(K61=0,0,(L61-K61)/K61*100)</f>
        <v>0</v>
      </c>
      <c r="M62" s="232">
        <f>IF(L61=0,0,(M61-L61)/L61*100)</f>
        <v>-100</v>
      </c>
    </row>
    <row r="63" spans="2:13" ht="9.75" hidden="1" customHeight="1" x14ac:dyDescent="0.2">
      <c r="B63" s="230" t="e">
        <f>#REF!</f>
        <v>#REF!</v>
      </c>
      <c r="C63" s="230" t="e">
        <f>INDEX([2]Тарифы!$AF$86:$AF$99,MATCH(#REF!,[2]Тарифы!$Y$86:$Y$99,0))</f>
        <v>#REF!</v>
      </c>
      <c r="D63" s="249"/>
      <c r="E63" s="250"/>
      <c r="F63" s="243" t="s">
        <v>23</v>
      </c>
      <c r="G63" s="238" t="s">
        <v>402</v>
      </c>
      <c r="H63" s="244" t="s">
        <v>46</v>
      </c>
      <c r="I63" s="232" t="e">
        <f>#REF!</f>
        <v>#REF!</v>
      </c>
      <c r="J63" s="232" t="e">
        <f>#REF!</f>
        <v>#REF!</v>
      </c>
      <c r="K63" s="232" t="e">
        <f>#REF!</f>
        <v>#REF!</v>
      </c>
      <c r="L63" s="232" t="e">
        <f>#REF!</f>
        <v>#REF!</v>
      </c>
      <c r="M63" s="232" t="e">
        <f>#REF!</f>
        <v>#REF!</v>
      </c>
    </row>
    <row r="64" spans="2:13" ht="9.75" hidden="1" customHeight="1" x14ac:dyDescent="0.2">
      <c r="B64" s="230" t="e">
        <f>B63</f>
        <v>#REF!</v>
      </c>
      <c r="D64" s="249"/>
      <c r="E64" s="250"/>
      <c r="F64" s="243"/>
      <c r="G64" s="251" t="s">
        <v>401</v>
      </c>
      <c r="H64" s="244" t="s">
        <v>46</v>
      </c>
      <c r="I64" s="499" t="e">
        <f>IF(H63=0,0,(I63-H63)/H63*100)</f>
        <v>#REF!</v>
      </c>
      <c r="J64" s="232" t="e">
        <f>IF(I63=0,0,(J63-I63)/I63*100)</f>
        <v>#REF!</v>
      </c>
      <c r="K64" s="232" t="e">
        <f>IF(J63=0,0,(K63-J63)/J63*100)</f>
        <v>#REF!</v>
      </c>
      <c r="L64" s="232" t="e">
        <f>IF(K63=0,0,(L63-K63)/K63*100)</f>
        <v>#REF!</v>
      </c>
      <c r="M64" s="232" t="e">
        <f>IF(L63=0,0,(M63-L63)/L63*100)</f>
        <v>#REF!</v>
      </c>
    </row>
    <row r="65" spans="2:17" ht="14.25" customHeight="1" x14ac:dyDescent="0.2">
      <c r="B65" s="230" t="e">
        <f>B51</f>
        <v>#REF!</v>
      </c>
      <c r="D65" s="249"/>
      <c r="E65" s="250"/>
      <c r="F65" s="243" t="s">
        <v>23</v>
      </c>
      <c r="G65" s="238" t="s">
        <v>392</v>
      </c>
      <c r="H65" s="244" t="s">
        <v>46</v>
      </c>
      <c r="I65" s="232">
        <f>I51</f>
        <v>0</v>
      </c>
      <c r="J65" s="232">
        <f>J51</f>
        <v>0</v>
      </c>
      <c r="K65" s="232">
        <f>K51</f>
        <v>0</v>
      </c>
      <c r="L65" s="232">
        <f>L51</f>
        <v>0</v>
      </c>
      <c r="M65" s="232">
        <f>M51</f>
        <v>0</v>
      </c>
    </row>
    <row r="66" spans="2:17" ht="12" customHeight="1" x14ac:dyDescent="0.2">
      <c r="B66" s="230" t="e">
        <f>B65</f>
        <v>#REF!</v>
      </c>
      <c r="D66" s="249"/>
      <c r="E66" s="250"/>
      <c r="F66" s="243"/>
      <c r="G66" s="251" t="s">
        <v>401</v>
      </c>
      <c r="H66" s="244" t="s">
        <v>46</v>
      </c>
      <c r="I66" s="499" t="s">
        <v>266</v>
      </c>
      <c r="J66" s="232">
        <f>IF(I65=0,0,(J65-I65)/I65*100)</f>
        <v>0</v>
      </c>
      <c r="K66" s="232">
        <f>IF(J65=0,0,(K65-J65)/J65*100)</f>
        <v>0</v>
      </c>
      <c r="L66" s="232">
        <f>IF(K65=0,0,(L65-K65)/K65*100)</f>
        <v>0</v>
      </c>
      <c r="M66" s="232">
        <f>IF(L65=0,0,(M65-L65)/L65*100)</f>
        <v>0</v>
      </c>
    </row>
    <row r="67" spans="2:17" ht="14.25" customHeight="1" x14ac:dyDescent="0.2">
      <c r="B67" s="230" t="e">
        <f>B52</f>
        <v>#REF!</v>
      </c>
      <c r="D67" s="249"/>
      <c r="E67" s="250"/>
      <c r="F67" s="484">
        <v>2</v>
      </c>
      <c r="G67" s="676" t="s">
        <v>393</v>
      </c>
      <c r="H67" s="677"/>
      <c r="I67" s="677"/>
      <c r="J67" s="677"/>
      <c r="K67" s="677"/>
      <c r="L67" s="677"/>
      <c r="M67" s="678"/>
    </row>
    <row r="68" spans="2:17" ht="15" customHeight="1" x14ac:dyDescent="0.2">
      <c r="B68" s="230" t="e">
        <f>B53</f>
        <v>#REF!</v>
      </c>
      <c r="D68" s="249"/>
      <c r="E68" s="250"/>
      <c r="F68" s="484" t="s">
        <v>370</v>
      </c>
      <c r="G68" s="245" t="s">
        <v>394</v>
      </c>
      <c r="H68" s="244" t="s">
        <v>395</v>
      </c>
      <c r="I68" s="232">
        <f>I53</f>
        <v>0.6</v>
      </c>
      <c r="J68" s="232">
        <f>J53</f>
        <v>0.6</v>
      </c>
      <c r="K68" s="232">
        <f>K53</f>
        <v>0.5</v>
      </c>
      <c r="L68" s="232">
        <f>L53</f>
        <v>0.5</v>
      </c>
      <c r="M68" s="232">
        <f>M53</f>
        <v>0.4</v>
      </c>
    </row>
    <row r="69" spans="2:17" ht="11.25" customHeight="1" x14ac:dyDescent="0.2">
      <c r="B69" s="230" t="e">
        <f>B68</f>
        <v>#REF!</v>
      </c>
      <c r="D69" s="249"/>
      <c r="E69" s="250"/>
      <c r="F69" s="243"/>
      <c r="G69" s="251" t="s">
        <v>401</v>
      </c>
      <c r="H69" s="244" t="s">
        <v>46</v>
      </c>
      <c r="I69" s="499" t="s">
        <v>266</v>
      </c>
      <c r="J69" s="232">
        <f>IF(I68=0,0,(J68-I68)/I68*100)</f>
        <v>0</v>
      </c>
      <c r="K69" s="232">
        <f>IF(J68=0,0,(K68-J68)/J68*100)</f>
        <v>-16.666666666666664</v>
      </c>
      <c r="L69" s="232">
        <f>IF(K68=0,0,(L68-K68)/K68*100)</f>
        <v>0</v>
      </c>
      <c r="M69" s="232">
        <f>IF(L68=0,0,(M68-L68)/L68*100)</f>
        <v>-19.999999999999996</v>
      </c>
    </row>
    <row r="70" spans="2:17" ht="14.25" customHeight="1" x14ac:dyDescent="0.2">
      <c r="B70" s="230" t="e">
        <f>B54</f>
        <v>#REF!</v>
      </c>
      <c r="D70" s="249"/>
      <c r="E70" s="250"/>
      <c r="F70" s="484">
        <v>3</v>
      </c>
      <c r="G70" s="676" t="s">
        <v>396</v>
      </c>
      <c r="H70" s="677"/>
      <c r="I70" s="677"/>
      <c r="J70" s="677"/>
      <c r="K70" s="677"/>
      <c r="L70" s="677"/>
      <c r="M70" s="678"/>
    </row>
    <row r="71" spans="2:17" ht="15.75" customHeight="1" x14ac:dyDescent="0.2">
      <c r="B71" s="230" t="e">
        <f>#REF!</f>
        <v>#REF!</v>
      </c>
      <c r="D71" s="249"/>
      <c r="E71" s="250"/>
      <c r="F71" s="484" t="s">
        <v>139</v>
      </c>
      <c r="G71" s="245" t="s">
        <v>397</v>
      </c>
      <c r="H71" s="246" t="s">
        <v>398</v>
      </c>
      <c r="I71" s="232">
        <f>I55</f>
        <v>0.10223139537304422</v>
      </c>
      <c r="J71" s="232">
        <f t="shared" ref="J71:M71" si="7">J55</f>
        <v>0.10223139537304422</v>
      </c>
      <c r="K71" s="232">
        <f t="shared" si="7"/>
        <v>0.10223139537304422</v>
      </c>
      <c r="L71" s="232">
        <f t="shared" si="7"/>
        <v>0.10223139537304422</v>
      </c>
      <c r="M71" s="232">
        <f t="shared" si="7"/>
        <v>0.10223139537304422</v>
      </c>
      <c r="N71" s="488" t="s">
        <v>554</v>
      </c>
    </row>
    <row r="72" spans="2:17" x14ac:dyDescent="0.2">
      <c r="B72" s="230" t="e">
        <f>B71</f>
        <v>#REF!</v>
      </c>
      <c r="D72" s="249"/>
      <c r="E72" s="250"/>
      <c r="F72" s="243"/>
      <c r="G72" s="251" t="s">
        <v>401</v>
      </c>
      <c r="H72" s="244" t="s">
        <v>46</v>
      </c>
      <c r="I72" s="499" t="s">
        <v>266</v>
      </c>
      <c r="J72" s="232">
        <f>IF(I71=0,0,(J71-I71)/I71*100)</f>
        <v>0</v>
      </c>
      <c r="K72" s="232">
        <f>IF(J71=0,0,(K71-J71)/J71*100)</f>
        <v>0</v>
      </c>
      <c r="L72" s="232">
        <f>IF(K71=0,0,(L71-K71)/K71*100)</f>
        <v>0</v>
      </c>
      <c r="M72" s="232">
        <f>IF(L71=0,0,(M71-L71)/L71*100)</f>
        <v>0</v>
      </c>
    </row>
    <row r="73" spans="2:17" ht="15" customHeight="1" x14ac:dyDescent="0.25">
      <c r="D73" s="492"/>
      <c r="F73" s="679" t="s">
        <v>403</v>
      </c>
      <c r="G73" s="679"/>
      <c r="H73" s="679"/>
      <c r="I73" s="679"/>
      <c r="J73" s="679"/>
      <c r="K73" s="679"/>
      <c r="L73" s="679"/>
      <c r="M73" s="679"/>
    </row>
    <row r="74" spans="2:17" ht="24.75" customHeight="1" x14ac:dyDescent="0.25">
      <c r="D74" s="492"/>
      <c r="F74" s="252" t="s">
        <v>351</v>
      </c>
      <c r="G74" s="252" t="s">
        <v>379</v>
      </c>
      <c r="H74" s="482" t="s">
        <v>353</v>
      </c>
      <c r="I74" s="500" t="s">
        <v>404</v>
      </c>
      <c r="J74" s="500" t="s">
        <v>405</v>
      </c>
      <c r="K74" s="500" t="s">
        <v>560</v>
      </c>
      <c r="L74" s="500" t="s">
        <v>561</v>
      </c>
      <c r="M74" s="506" t="s">
        <v>406</v>
      </c>
      <c r="N74" s="698"/>
      <c r="O74" s="700"/>
      <c r="P74" s="700"/>
    </row>
    <row r="75" spans="2:17" ht="14.25" customHeight="1" x14ac:dyDescent="0.25">
      <c r="D75" s="492"/>
      <c r="F75" s="252" t="s">
        <v>380</v>
      </c>
      <c r="G75" s="487" t="s">
        <v>407</v>
      </c>
      <c r="H75" s="482"/>
      <c r="I75" s="498">
        <f>'[18]Расчет тарифа мет. инд. 5 лет'!M173</f>
        <v>1112.3335181217822</v>
      </c>
      <c r="J75" s="498">
        <f>'[18]Расчет тарифа мет. инд. 5 лет'!N173</f>
        <v>1063.0904252146061</v>
      </c>
      <c r="K75" s="498">
        <f>'Корректировка тарифа'!I177</f>
        <v>1297.5696316228552</v>
      </c>
      <c r="L75" s="498">
        <f>'Корректировка тарифа'!J177</f>
        <v>1471.9126700011</v>
      </c>
      <c r="M75" s="673" t="s">
        <v>562</v>
      </c>
      <c r="N75" s="486"/>
      <c r="O75" s="501"/>
      <c r="P75" s="501"/>
    </row>
    <row r="76" spans="2:17" ht="11.25" customHeight="1" x14ac:dyDescent="0.25">
      <c r="D76" s="492"/>
      <c r="F76" s="252" t="s">
        <v>12</v>
      </c>
      <c r="G76" s="487" t="s">
        <v>408</v>
      </c>
      <c r="H76" s="252" t="s">
        <v>123</v>
      </c>
      <c r="I76" s="502">
        <f>'[18]Расчет тарифа мет. инд. 5 лет'!M25</f>
        <v>1065.2021367867183</v>
      </c>
      <c r="J76" s="502">
        <f>'[18]Расчет тарифа мет. инд. 5 лет'!N25</f>
        <v>1013.9230366829861</v>
      </c>
      <c r="K76" s="498">
        <f>'Корректировка тарифа'!I24</f>
        <v>1262.5248965136184</v>
      </c>
      <c r="L76" s="498">
        <f>'Корректировка тарифа'!J24</f>
        <v>1435.68</v>
      </c>
      <c r="M76" s="674"/>
      <c r="N76" s="698"/>
      <c r="O76" s="698"/>
      <c r="P76" s="698"/>
      <c r="Q76" s="488" t="s">
        <v>555</v>
      </c>
    </row>
    <row r="77" spans="2:17" ht="11.25" hidden="1" customHeight="1" x14ac:dyDescent="0.25">
      <c r="D77" s="492"/>
      <c r="F77" s="252" t="s">
        <v>15</v>
      </c>
      <c r="G77" s="487" t="s">
        <v>556</v>
      </c>
      <c r="H77" s="252" t="s">
        <v>123</v>
      </c>
      <c r="I77" s="502">
        <f>'[18]Расчет тарифа мет. инд. 5 лет'!N28+'[18]Расчет тарифа мет. инд. 5 лет'!N31+'[18]Расчет тарифа мет. инд. 5 лет'!N50</f>
        <v>427.2558960689779</v>
      </c>
      <c r="J77" s="502">
        <f>'[18]Расчет тарифа мет. инд. 5 лет'!O28+'[18]Расчет тарифа мет. инд. 5 лет'!O31+'[18]Расчет тарифа мет. инд. 5 лет'!O50</f>
        <v>0</v>
      </c>
      <c r="K77" s="498"/>
      <c r="L77" s="498"/>
      <c r="M77" s="674"/>
      <c r="N77" s="698"/>
      <c r="O77" s="698"/>
      <c r="P77" s="698"/>
    </row>
    <row r="78" spans="2:17" ht="11.25" hidden="1" customHeight="1" x14ac:dyDescent="0.25">
      <c r="D78" s="492"/>
      <c r="F78" s="252" t="s">
        <v>17</v>
      </c>
      <c r="G78" s="487" t="s">
        <v>557</v>
      </c>
      <c r="H78" s="252" t="s">
        <v>123</v>
      </c>
      <c r="I78" s="502">
        <f>'[18]Расчет тарифа мет. инд. 5 лет'!N47</f>
        <v>200.7312</v>
      </c>
      <c r="J78" s="502">
        <f>'[18]Расчет тарифа мет. инд. 5 лет'!O47</f>
        <v>0</v>
      </c>
      <c r="K78" s="498"/>
      <c r="L78" s="498"/>
      <c r="M78" s="674"/>
      <c r="N78" s="698"/>
      <c r="O78" s="698"/>
      <c r="P78" s="698"/>
    </row>
    <row r="79" spans="2:17" ht="11.25" customHeight="1" x14ac:dyDescent="0.25">
      <c r="D79" s="492"/>
      <c r="F79" s="252" t="s">
        <v>108</v>
      </c>
      <c r="G79" s="487" t="s">
        <v>109</v>
      </c>
      <c r="H79" s="252" t="s">
        <v>123</v>
      </c>
      <c r="I79" s="502">
        <f>'[18]Расчет тарифа мет. инд. 5 лет'!N74</f>
        <v>8.930829985747998</v>
      </c>
      <c r="J79" s="502">
        <f>'[18]Расчет тарифа мет. инд. 5 лет'!O74</f>
        <v>33.454329622604938</v>
      </c>
      <c r="K79" s="498">
        <f>'Корректировка тарифа'!I73</f>
        <v>39.487969230769224</v>
      </c>
      <c r="L79" s="498">
        <f>'Корректировка тарифа'!J73</f>
        <v>8.3097500010999994</v>
      </c>
      <c r="M79" s="674"/>
      <c r="N79" s="698"/>
      <c r="O79" s="698"/>
      <c r="P79" s="698"/>
    </row>
    <row r="80" spans="2:17" ht="17.25" customHeight="1" x14ac:dyDescent="0.25">
      <c r="D80" s="492"/>
      <c r="F80" s="252" t="s">
        <v>137</v>
      </c>
      <c r="G80" s="487" t="s">
        <v>383</v>
      </c>
      <c r="H80" s="252" t="s">
        <v>123</v>
      </c>
      <c r="I80" s="502">
        <v>0</v>
      </c>
      <c r="J80" s="502">
        <v>0</v>
      </c>
      <c r="K80" s="502">
        <v>0</v>
      </c>
      <c r="L80" s="502">
        <v>0</v>
      </c>
      <c r="M80" s="674"/>
      <c r="N80" s="698"/>
      <c r="O80" s="698"/>
      <c r="P80" s="698"/>
    </row>
    <row r="81" spans="4:16" ht="12.75" customHeight="1" x14ac:dyDescent="0.25">
      <c r="D81" s="492"/>
      <c r="F81" s="252" t="s">
        <v>409</v>
      </c>
      <c r="G81" s="253" t="str">
        <f>G40</f>
        <v>Всего за счет тарифных и прочих источников</v>
      </c>
      <c r="H81" s="252" t="s">
        <v>123</v>
      </c>
      <c r="I81" s="502">
        <f>I75</f>
        <v>1112.3335181217822</v>
      </c>
      <c r="J81" s="502">
        <f t="shared" ref="J81:L81" si="8">J75</f>
        <v>1063.0904252146061</v>
      </c>
      <c r="K81" s="502">
        <f t="shared" si="8"/>
        <v>1297.5696316228552</v>
      </c>
      <c r="L81" s="502">
        <f t="shared" si="8"/>
        <v>1471.9126700011</v>
      </c>
      <c r="M81" s="674"/>
      <c r="N81" s="698"/>
      <c r="O81" s="698"/>
      <c r="P81" s="698"/>
    </row>
    <row r="82" spans="4:16" ht="11.25" customHeight="1" x14ac:dyDescent="0.25">
      <c r="D82" s="492"/>
      <c r="F82" s="252" t="s">
        <v>410</v>
      </c>
      <c r="G82" s="487" t="s">
        <v>411</v>
      </c>
      <c r="H82" s="252" t="s">
        <v>412</v>
      </c>
      <c r="I82" s="503">
        <f>'[18]Расчет тарифа мет. инд. 5 лет'!M17</f>
        <v>20.7</v>
      </c>
      <c r="J82" s="503">
        <f>'[18]Расчет тарифа мет. инд. 5 лет'!N17</f>
        <v>21.516976</v>
      </c>
      <c r="K82" s="498">
        <f>'Корректировка тарифа'!I16</f>
        <v>20.7</v>
      </c>
      <c r="L82" s="498">
        <f>'Корректировка тарифа'!J16</f>
        <v>20.3389697</v>
      </c>
      <c r="M82" s="674"/>
      <c r="N82" s="698"/>
      <c r="O82" s="698"/>
      <c r="P82" s="698"/>
    </row>
    <row r="83" spans="4:16" ht="14.25" customHeight="1" x14ac:dyDescent="0.25">
      <c r="D83" s="492"/>
      <c r="F83" s="252" t="s">
        <v>219</v>
      </c>
      <c r="G83" s="670" t="s">
        <v>413</v>
      </c>
      <c r="H83" s="671"/>
      <c r="I83" s="671"/>
      <c r="J83" s="671"/>
      <c r="K83" s="671"/>
      <c r="L83" s="672"/>
      <c r="M83" s="674"/>
      <c r="N83" s="486"/>
      <c r="O83" s="486"/>
      <c r="P83" s="486"/>
    </row>
    <row r="84" spans="4:16" ht="11.25" customHeight="1" x14ac:dyDescent="0.25">
      <c r="D84" s="492"/>
      <c r="F84" s="252" t="s">
        <v>414</v>
      </c>
      <c r="G84" s="254" t="str">
        <f>G61</f>
        <v>подпункт "а" пункта 12 приказа Минстроя России от 04.04.2014 № 162/пр</v>
      </c>
      <c r="H84" s="244" t="s">
        <v>46</v>
      </c>
      <c r="I84" s="503" t="s">
        <v>266</v>
      </c>
      <c r="J84" s="503" t="s">
        <v>266</v>
      </c>
      <c r="K84" s="503" t="s">
        <v>563</v>
      </c>
      <c r="L84" s="503" t="s">
        <v>563</v>
      </c>
      <c r="M84" s="674"/>
      <c r="N84" s="486"/>
      <c r="O84" s="486"/>
      <c r="P84" s="486"/>
    </row>
    <row r="85" spans="4:16" ht="11.25" customHeight="1" x14ac:dyDescent="0.25">
      <c r="D85" s="492"/>
      <c r="F85" s="252" t="s">
        <v>415</v>
      </c>
      <c r="G85" s="254" t="str">
        <f>G65</f>
        <v>подпункт "в" пункта 12 приказа Минстроя России от 04.04.2014 № 162/пр</v>
      </c>
      <c r="H85" s="244" t="s">
        <v>46</v>
      </c>
      <c r="I85" s="503" t="s">
        <v>266</v>
      </c>
      <c r="J85" s="503" t="s">
        <v>266</v>
      </c>
      <c r="K85" s="503" t="s">
        <v>563</v>
      </c>
      <c r="L85" s="503" t="s">
        <v>565</v>
      </c>
      <c r="M85" s="674"/>
      <c r="N85" s="486"/>
      <c r="O85" s="486"/>
      <c r="P85" s="486"/>
    </row>
    <row r="86" spans="4:16" ht="11.25" customHeight="1" x14ac:dyDescent="0.25">
      <c r="D86" s="492"/>
      <c r="F86" s="252" t="s">
        <v>416</v>
      </c>
      <c r="G86" s="254" t="str">
        <f>G68</f>
        <v>пункт 11 приказа Минстроя России от 04.04.2014 № 162/пр</v>
      </c>
      <c r="H86" s="244" t="s">
        <v>46</v>
      </c>
      <c r="I86" s="503" t="s">
        <v>266</v>
      </c>
      <c r="J86" s="503" t="s">
        <v>266</v>
      </c>
      <c r="K86" s="503" t="s">
        <v>564</v>
      </c>
      <c r="L86" s="503" t="s">
        <v>566</v>
      </c>
      <c r="M86" s="675"/>
      <c r="N86" s="486"/>
      <c r="O86" s="486"/>
      <c r="P86" s="486"/>
    </row>
    <row r="87" spans="4:16" ht="17.25" customHeight="1" x14ac:dyDescent="0.25">
      <c r="D87" s="492"/>
      <c r="F87" s="679" t="s">
        <v>417</v>
      </c>
      <c r="G87" s="679"/>
      <c r="H87" s="679"/>
      <c r="I87" s="679"/>
      <c r="J87" s="679"/>
      <c r="K87" s="679"/>
      <c r="L87" s="679"/>
      <c r="M87" s="679"/>
    </row>
    <row r="88" spans="4:16" ht="22.5" customHeight="1" x14ac:dyDescent="0.25">
      <c r="D88" s="492"/>
      <c r="F88" s="697" t="s">
        <v>351</v>
      </c>
      <c r="G88" s="699" t="s">
        <v>387</v>
      </c>
      <c r="H88" s="690" t="s">
        <v>353</v>
      </c>
      <c r="I88" s="690" t="s">
        <v>400</v>
      </c>
      <c r="J88" s="690"/>
      <c r="K88" s="690"/>
      <c r="L88" s="690"/>
      <c r="M88" s="690"/>
    </row>
    <row r="89" spans="4:16" ht="11.25" customHeight="1" x14ac:dyDescent="0.25">
      <c r="D89" s="492"/>
      <c r="F89" s="697"/>
      <c r="G89" s="699"/>
      <c r="H89" s="690"/>
      <c r="I89" s="482" t="s">
        <v>355</v>
      </c>
      <c r="J89" s="482" t="s">
        <v>356</v>
      </c>
      <c r="K89" s="482" t="s">
        <v>357</v>
      </c>
      <c r="L89" s="482" t="s">
        <v>358</v>
      </c>
      <c r="M89" s="482" t="s">
        <v>359</v>
      </c>
    </row>
    <row r="90" spans="4:16" ht="11.25" customHeight="1" x14ac:dyDescent="0.25">
      <c r="D90" s="504">
        <v>1</v>
      </c>
      <c r="E90" s="505"/>
      <c r="F90" s="695">
        <v>1</v>
      </c>
      <c r="G90" s="696" t="s">
        <v>418</v>
      </c>
      <c r="H90" s="697" t="s">
        <v>123</v>
      </c>
      <c r="I90" s="667" t="s">
        <v>266</v>
      </c>
      <c r="J90" s="667" t="s">
        <v>266</v>
      </c>
      <c r="K90" s="667" t="s">
        <v>266</v>
      </c>
      <c r="L90" s="667" t="s">
        <v>266</v>
      </c>
      <c r="M90" s="667" t="s">
        <v>266</v>
      </c>
    </row>
    <row r="91" spans="4:16" ht="15" customHeight="1" x14ac:dyDescent="0.25">
      <c r="D91" s="504"/>
      <c r="E91" s="505"/>
      <c r="F91" s="695"/>
      <c r="G91" s="696"/>
      <c r="H91" s="697"/>
      <c r="I91" s="668"/>
      <c r="J91" s="668"/>
      <c r="K91" s="668"/>
      <c r="L91" s="668"/>
      <c r="M91" s="668"/>
    </row>
    <row r="93" spans="4:16" ht="2.25" customHeight="1" x14ac:dyDescent="0.25"/>
    <row r="94" spans="4:16" ht="2.25" customHeight="1" x14ac:dyDescent="0.25"/>
    <row r="95" spans="4:16" ht="2.25" customHeight="1" x14ac:dyDescent="0.25"/>
    <row r="97" spans="7:7" x14ac:dyDescent="0.25">
      <c r="G97" s="488" t="s">
        <v>419</v>
      </c>
    </row>
  </sheetData>
  <mergeCells count="68">
    <mergeCell ref="F14:G14"/>
    <mergeCell ref="H14:M14"/>
    <mergeCell ref="J4:M4"/>
    <mergeCell ref="F11:M11"/>
    <mergeCell ref="F12:M12"/>
    <mergeCell ref="F13:G13"/>
    <mergeCell ref="H13:M13"/>
    <mergeCell ref="F24:M24"/>
    <mergeCell ref="F15:G15"/>
    <mergeCell ref="H15:M15"/>
    <mergeCell ref="F16:G16"/>
    <mergeCell ref="H16:M16"/>
    <mergeCell ref="F17:G17"/>
    <mergeCell ref="H17:M17"/>
    <mergeCell ref="F18:M18"/>
    <mergeCell ref="F19:F20"/>
    <mergeCell ref="G19:G20"/>
    <mergeCell ref="H19:H20"/>
    <mergeCell ref="I19:M19"/>
    <mergeCell ref="H42:M42"/>
    <mergeCell ref="F25:F26"/>
    <mergeCell ref="G25:G26"/>
    <mergeCell ref="H25:H26"/>
    <mergeCell ref="I25:M25"/>
    <mergeCell ref="F32:M32"/>
    <mergeCell ref="F33:M33"/>
    <mergeCell ref="F34:F35"/>
    <mergeCell ref="G34:G35"/>
    <mergeCell ref="H34:H35"/>
    <mergeCell ref="I34:M34"/>
    <mergeCell ref="F41:M41"/>
    <mergeCell ref="N74:P74"/>
    <mergeCell ref="G49:M49"/>
    <mergeCell ref="G52:M52"/>
    <mergeCell ref="G54:M54"/>
    <mergeCell ref="F56:M56"/>
    <mergeCell ref="F57:M57"/>
    <mergeCell ref="F58:F59"/>
    <mergeCell ref="G58:G59"/>
    <mergeCell ref="H58:H59"/>
    <mergeCell ref="I58:M58"/>
    <mergeCell ref="N76:P82"/>
    <mergeCell ref="F87:M87"/>
    <mergeCell ref="F88:F89"/>
    <mergeCell ref="G88:G89"/>
    <mergeCell ref="H88:H89"/>
    <mergeCell ref="I88:M88"/>
    <mergeCell ref="F90:F91"/>
    <mergeCell ref="G90:G91"/>
    <mergeCell ref="H90:H91"/>
    <mergeCell ref="I90:I91"/>
    <mergeCell ref="J90:J91"/>
    <mergeCell ref="L90:L91"/>
    <mergeCell ref="M90:M91"/>
    <mergeCell ref="J8:M8"/>
    <mergeCell ref="G83:L83"/>
    <mergeCell ref="M75:M86"/>
    <mergeCell ref="K90:K91"/>
    <mergeCell ref="G60:M60"/>
    <mergeCell ref="G67:M67"/>
    <mergeCell ref="G70:M70"/>
    <mergeCell ref="F73:M73"/>
    <mergeCell ref="H43:M45"/>
    <mergeCell ref="F46:M46"/>
    <mergeCell ref="F47:F48"/>
    <mergeCell ref="G47:G48"/>
    <mergeCell ref="H47:H48"/>
    <mergeCell ref="I47:M47"/>
  </mergeCells>
  <dataValidations count="1">
    <dataValidation type="list" allowBlank="1" showInputMessage="1" showErrorMessage="1" sqref="N11" xr:uid="{159D8B2C-4BA1-4C21-9F0E-ABDF5B141E1F}">
      <formula1>version_PP</formula1>
    </dataValidation>
  </dataValidations>
  <pageMargins left="0.98425196850393704" right="0.78740157480314965" top="1.1811023622047245" bottom="0.74803149606299213" header="0.31496062992125984" footer="0.31496062992125984"/>
  <pageSetup paperSize="9" scale="84" fitToHeight="0" orientation="landscape" r:id="rId1"/>
  <rowBreaks count="2" manualBreakCount="2">
    <brk id="31" min="4" max="12" man="1"/>
    <brk id="55" min="4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26FC42-1750-45AD-A329-C5DD1AE7B4F5}">
  <dimension ref="A1:O97"/>
  <sheetViews>
    <sheetView topLeftCell="A4" zoomScale="70" zoomScaleNormal="70" workbookViewId="0">
      <selection activeCell="I35" sqref="I35"/>
    </sheetView>
  </sheetViews>
  <sheetFormatPr defaultRowHeight="15.75" x14ac:dyDescent="0.25"/>
  <cols>
    <col min="1" max="1" width="9.140625" style="255"/>
    <col min="2" max="2" width="30.140625" style="255" customWidth="1"/>
    <col min="3" max="3" width="59.42578125" style="255" customWidth="1"/>
    <col min="4" max="4" width="55.28515625" style="255" customWidth="1"/>
    <col min="5" max="5" width="7.85546875" style="255" customWidth="1"/>
    <col min="6" max="6" width="8.140625" style="255" customWidth="1"/>
    <col min="7" max="7" width="12.5703125" style="255" customWidth="1"/>
    <col min="8" max="8" width="9.140625" style="255"/>
    <col min="9" max="9" width="10.7109375" style="255" bestFit="1" customWidth="1"/>
    <col min="10" max="10" width="13.28515625" style="255" customWidth="1"/>
    <col min="11" max="11" width="14.5703125" style="255" customWidth="1"/>
    <col min="12" max="257" width="9.140625" style="255"/>
    <col min="258" max="258" width="30.140625" style="255" customWidth="1"/>
    <col min="259" max="259" width="59.42578125" style="255" customWidth="1"/>
    <col min="260" max="260" width="55.28515625" style="255" customWidth="1"/>
    <col min="261" max="261" width="7.85546875" style="255" customWidth="1"/>
    <col min="262" max="262" width="8.140625" style="255" customWidth="1"/>
    <col min="263" max="263" width="12.5703125" style="255" customWidth="1"/>
    <col min="264" max="264" width="9.140625" style="255"/>
    <col min="265" max="265" width="10.7109375" style="255" bestFit="1" customWidth="1"/>
    <col min="266" max="266" width="13.28515625" style="255" customWidth="1"/>
    <col min="267" max="267" width="14.5703125" style="255" customWidth="1"/>
    <col min="268" max="513" width="9.140625" style="255"/>
    <col min="514" max="514" width="30.140625" style="255" customWidth="1"/>
    <col min="515" max="515" width="59.42578125" style="255" customWidth="1"/>
    <col min="516" max="516" width="55.28515625" style="255" customWidth="1"/>
    <col min="517" max="517" width="7.85546875" style="255" customWidth="1"/>
    <col min="518" max="518" width="8.140625" style="255" customWidth="1"/>
    <col min="519" max="519" width="12.5703125" style="255" customWidth="1"/>
    <col min="520" max="520" width="9.140625" style="255"/>
    <col min="521" max="521" width="10.7109375" style="255" bestFit="1" customWidth="1"/>
    <col min="522" max="522" width="13.28515625" style="255" customWidth="1"/>
    <col min="523" max="523" width="14.5703125" style="255" customWidth="1"/>
    <col min="524" max="769" width="9.140625" style="255"/>
    <col min="770" max="770" width="30.140625" style="255" customWidth="1"/>
    <col min="771" max="771" width="59.42578125" style="255" customWidth="1"/>
    <col min="772" max="772" width="55.28515625" style="255" customWidth="1"/>
    <col min="773" max="773" width="7.85546875" style="255" customWidth="1"/>
    <col min="774" max="774" width="8.140625" style="255" customWidth="1"/>
    <col min="775" max="775" width="12.5703125" style="255" customWidth="1"/>
    <col min="776" max="776" width="9.140625" style="255"/>
    <col min="777" max="777" width="10.7109375" style="255" bestFit="1" customWidth="1"/>
    <col min="778" max="778" width="13.28515625" style="255" customWidth="1"/>
    <col min="779" max="779" width="14.5703125" style="255" customWidth="1"/>
    <col min="780" max="1025" width="9.140625" style="255"/>
    <col min="1026" max="1026" width="30.140625" style="255" customWidth="1"/>
    <col min="1027" max="1027" width="59.42578125" style="255" customWidth="1"/>
    <col min="1028" max="1028" width="55.28515625" style="255" customWidth="1"/>
    <col min="1029" max="1029" width="7.85546875" style="255" customWidth="1"/>
    <col min="1030" max="1030" width="8.140625" style="255" customWidth="1"/>
    <col min="1031" max="1031" width="12.5703125" style="255" customWidth="1"/>
    <col min="1032" max="1032" width="9.140625" style="255"/>
    <col min="1033" max="1033" width="10.7109375" style="255" bestFit="1" customWidth="1"/>
    <col min="1034" max="1034" width="13.28515625" style="255" customWidth="1"/>
    <col min="1035" max="1035" width="14.5703125" style="255" customWidth="1"/>
    <col min="1036" max="1281" width="9.140625" style="255"/>
    <col min="1282" max="1282" width="30.140625" style="255" customWidth="1"/>
    <col min="1283" max="1283" width="59.42578125" style="255" customWidth="1"/>
    <col min="1284" max="1284" width="55.28515625" style="255" customWidth="1"/>
    <col min="1285" max="1285" width="7.85546875" style="255" customWidth="1"/>
    <col min="1286" max="1286" width="8.140625" style="255" customWidth="1"/>
    <col min="1287" max="1287" width="12.5703125" style="255" customWidth="1"/>
    <col min="1288" max="1288" width="9.140625" style="255"/>
    <col min="1289" max="1289" width="10.7109375" style="255" bestFit="1" customWidth="1"/>
    <col min="1290" max="1290" width="13.28515625" style="255" customWidth="1"/>
    <col min="1291" max="1291" width="14.5703125" style="255" customWidth="1"/>
    <col min="1292" max="1537" width="9.140625" style="255"/>
    <col min="1538" max="1538" width="30.140625" style="255" customWidth="1"/>
    <col min="1539" max="1539" width="59.42578125" style="255" customWidth="1"/>
    <col min="1540" max="1540" width="55.28515625" style="255" customWidth="1"/>
    <col min="1541" max="1541" width="7.85546875" style="255" customWidth="1"/>
    <col min="1542" max="1542" width="8.140625" style="255" customWidth="1"/>
    <col min="1543" max="1543" width="12.5703125" style="255" customWidth="1"/>
    <col min="1544" max="1544" width="9.140625" style="255"/>
    <col min="1545" max="1545" width="10.7109375" style="255" bestFit="1" customWidth="1"/>
    <col min="1546" max="1546" width="13.28515625" style="255" customWidth="1"/>
    <col min="1547" max="1547" width="14.5703125" style="255" customWidth="1"/>
    <col min="1548" max="1793" width="9.140625" style="255"/>
    <col min="1794" max="1794" width="30.140625" style="255" customWidth="1"/>
    <col min="1795" max="1795" width="59.42578125" style="255" customWidth="1"/>
    <col min="1796" max="1796" width="55.28515625" style="255" customWidth="1"/>
    <col min="1797" max="1797" width="7.85546875" style="255" customWidth="1"/>
    <col min="1798" max="1798" width="8.140625" style="255" customWidth="1"/>
    <col min="1799" max="1799" width="12.5703125" style="255" customWidth="1"/>
    <col min="1800" max="1800" width="9.140625" style="255"/>
    <col min="1801" max="1801" width="10.7109375" style="255" bestFit="1" customWidth="1"/>
    <col min="1802" max="1802" width="13.28515625" style="255" customWidth="1"/>
    <col min="1803" max="1803" width="14.5703125" style="255" customWidth="1"/>
    <col min="1804" max="2049" width="9.140625" style="255"/>
    <col min="2050" max="2050" width="30.140625" style="255" customWidth="1"/>
    <col min="2051" max="2051" width="59.42578125" style="255" customWidth="1"/>
    <col min="2052" max="2052" width="55.28515625" style="255" customWidth="1"/>
    <col min="2053" max="2053" width="7.85546875" style="255" customWidth="1"/>
    <col min="2054" max="2054" width="8.140625" style="255" customWidth="1"/>
    <col min="2055" max="2055" width="12.5703125" style="255" customWidth="1"/>
    <col min="2056" max="2056" width="9.140625" style="255"/>
    <col min="2057" max="2057" width="10.7109375" style="255" bestFit="1" customWidth="1"/>
    <col min="2058" max="2058" width="13.28515625" style="255" customWidth="1"/>
    <col min="2059" max="2059" width="14.5703125" style="255" customWidth="1"/>
    <col min="2060" max="2305" width="9.140625" style="255"/>
    <col min="2306" max="2306" width="30.140625" style="255" customWidth="1"/>
    <col min="2307" max="2307" width="59.42578125" style="255" customWidth="1"/>
    <col min="2308" max="2308" width="55.28515625" style="255" customWidth="1"/>
    <col min="2309" max="2309" width="7.85546875" style="255" customWidth="1"/>
    <col min="2310" max="2310" width="8.140625" style="255" customWidth="1"/>
    <col min="2311" max="2311" width="12.5703125" style="255" customWidth="1"/>
    <col min="2312" max="2312" width="9.140625" style="255"/>
    <col min="2313" max="2313" width="10.7109375" style="255" bestFit="1" customWidth="1"/>
    <col min="2314" max="2314" width="13.28515625" style="255" customWidth="1"/>
    <col min="2315" max="2315" width="14.5703125" style="255" customWidth="1"/>
    <col min="2316" max="2561" width="9.140625" style="255"/>
    <col min="2562" max="2562" width="30.140625" style="255" customWidth="1"/>
    <col min="2563" max="2563" width="59.42578125" style="255" customWidth="1"/>
    <col min="2564" max="2564" width="55.28515625" style="255" customWidth="1"/>
    <col min="2565" max="2565" width="7.85546875" style="255" customWidth="1"/>
    <col min="2566" max="2566" width="8.140625" style="255" customWidth="1"/>
    <col min="2567" max="2567" width="12.5703125" style="255" customWidth="1"/>
    <col min="2568" max="2568" width="9.140625" style="255"/>
    <col min="2569" max="2569" width="10.7109375" style="255" bestFit="1" customWidth="1"/>
    <col min="2570" max="2570" width="13.28515625" style="255" customWidth="1"/>
    <col min="2571" max="2571" width="14.5703125" style="255" customWidth="1"/>
    <col min="2572" max="2817" width="9.140625" style="255"/>
    <col min="2818" max="2818" width="30.140625" style="255" customWidth="1"/>
    <col min="2819" max="2819" width="59.42578125" style="255" customWidth="1"/>
    <col min="2820" max="2820" width="55.28515625" style="255" customWidth="1"/>
    <col min="2821" max="2821" width="7.85546875" style="255" customWidth="1"/>
    <col min="2822" max="2822" width="8.140625" style="255" customWidth="1"/>
    <col min="2823" max="2823" width="12.5703125" style="255" customWidth="1"/>
    <col min="2824" max="2824" width="9.140625" style="255"/>
    <col min="2825" max="2825" width="10.7109375" style="255" bestFit="1" customWidth="1"/>
    <col min="2826" max="2826" width="13.28515625" style="255" customWidth="1"/>
    <col min="2827" max="2827" width="14.5703125" style="255" customWidth="1"/>
    <col min="2828" max="3073" width="9.140625" style="255"/>
    <col min="3074" max="3074" width="30.140625" style="255" customWidth="1"/>
    <col min="3075" max="3075" width="59.42578125" style="255" customWidth="1"/>
    <col min="3076" max="3076" width="55.28515625" style="255" customWidth="1"/>
    <col min="3077" max="3077" width="7.85546875" style="255" customWidth="1"/>
    <col min="3078" max="3078" width="8.140625" style="255" customWidth="1"/>
    <col min="3079" max="3079" width="12.5703125" style="255" customWidth="1"/>
    <col min="3080" max="3080" width="9.140625" style="255"/>
    <col min="3081" max="3081" width="10.7109375" style="255" bestFit="1" customWidth="1"/>
    <col min="3082" max="3082" width="13.28515625" style="255" customWidth="1"/>
    <col min="3083" max="3083" width="14.5703125" style="255" customWidth="1"/>
    <col min="3084" max="3329" width="9.140625" style="255"/>
    <col min="3330" max="3330" width="30.140625" style="255" customWidth="1"/>
    <col min="3331" max="3331" width="59.42578125" style="255" customWidth="1"/>
    <col min="3332" max="3332" width="55.28515625" style="255" customWidth="1"/>
    <col min="3333" max="3333" width="7.85546875" style="255" customWidth="1"/>
    <col min="3334" max="3334" width="8.140625" style="255" customWidth="1"/>
    <col min="3335" max="3335" width="12.5703125" style="255" customWidth="1"/>
    <col min="3336" max="3336" width="9.140625" style="255"/>
    <col min="3337" max="3337" width="10.7109375" style="255" bestFit="1" customWidth="1"/>
    <col min="3338" max="3338" width="13.28515625" style="255" customWidth="1"/>
    <col min="3339" max="3339" width="14.5703125" style="255" customWidth="1"/>
    <col min="3340" max="3585" width="9.140625" style="255"/>
    <col min="3586" max="3586" width="30.140625" style="255" customWidth="1"/>
    <col min="3587" max="3587" width="59.42578125" style="255" customWidth="1"/>
    <col min="3588" max="3588" width="55.28515625" style="255" customWidth="1"/>
    <col min="3589" max="3589" width="7.85546875" style="255" customWidth="1"/>
    <col min="3590" max="3590" width="8.140625" style="255" customWidth="1"/>
    <col min="3591" max="3591" width="12.5703125" style="255" customWidth="1"/>
    <col min="3592" max="3592" width="9.140625" style="255"/>
    <col min="3593" max="3593" width="10.7109375" style="255" bestFit="1" customWidth="1"/>
    <col min="3594" max="3594" width="13.28515625" style="255" customWidth="1"/>
    <col min="3595" max="3595" width="14.5703125" style="255" customWidth="1"/>
    <col min="3596" max="3841" width="9.140625" style="255"/>
    <col min="3842" max="3842" width="30.140625" style="255" customWidth="1"/>
    <col min="3843" max="3843" width="59.42578125" style="255" customWidth="1"/>
    <col min="3844" max="3844" width="55.28515625" style="255" customWidth="1"/>
    <col min="3845" max="3845" width="7.85546875" style="255" customWidth="1"/>
    <col min="3846" max="3846" width="8.140625" style="255" customWidth="1"/>
    <col min="3847" max="3847" width="12.5703125" style="255" customWidth="1"/>
    <col min="3848" max="3848" width="9.140625" style="255"/>
    <col min="3849" max="3849" width="10.7109375" style="255" bestFit="1" customWidth="1"/>
    <col min="3850" max="3850" width="13.28515625" style="255" customWidth="1"/>
    <col min="3851" max="3851" width="14.5703125" style="255" customWidth="1"/>
    <col min="3852" max="4097" width="9.140625" style="255"/>
    <col min="4098" max="4098" width="30.140625" style="255" customWidth="1"/>
    <col min="4099" max="4099" width="59.42578125" style="255" customWidth="1"/>
    <col min="4100" max="4100" width="55.28515625" style="255" customWidth="1"/>
    <col min="4101" max="4101" width="7.85546875" style="255" customWidth="1"/>
    <col min="4102" max="4102" width="8.140625" style="255" customWidth="1"/>
    <col min="4103" max="4103" width="12.5703125" style="255" customWidth="1"/>
    <col min="4104" max="4104" width="9.140625" style="255"/>
    <col min="4105" max="4105" width="10.7109375" style="255" bestFit="1" customWidth="1"/>
    <col min="4106" max="4106" width="13.28515625" style="255" customWidth="1"/>
    <col min="4107" max="4107" width="14.5703125" style="255" customWidth="1"/>
    <col min="4108" max="4353" width="9.140625" style="255"/>
    <col min="4354" max="4354" width="30.140625" style="255" customWidth="1"/>
    <col min="4355" max="4355" width="59.42578125" style="255" customWidth="1"/>
    <col min="4356" max="4356" width="55.28515625" style="255" customWidth="1"/>
    <col min="4357" max="4357" width="7.85546875" style="255" customWidth="1"/>
    <col min="4358" max="4358" width="8.140625" style="255" customWidth="1"/>
    <col min="4359" max="4359" width="12.5703125" style="255" customWidth="1"/>
    <col min="4360" max="4360" width="9.140625" style="255"/>
    <col min="4361" max="4361" width="10.7109375" style="255" bestFit="1" customWidth="1"/>
    <col min="4362" max="4362" width="13.28515625" style="255" customWidth="1"/>
    <col min="4363" max="4363" width="14.5703125" style="255" customWidth="1"/>
    <col min="4364" max="4609" width="9.140625" style="255"/>
    <col min="4610" max="4610" width="30.140625" style="255" customWidth="1"/>
    <col min="4611" max="4611" width="59.42578125" style="255" customWidth="1"/>
    <col min="4612" max="4612" width="55.28515625" style="255" customWidth="1"/>
    <col min="4613" max="4613" width="7.85546875" style="255" customWidth="1"/>
    <col min="4614" max="4614" width="8.140625" style="255" customWidth="1"/>
    <col min="4615" max="4615" width="12.5703125" style="255" customWidth="1"/>
    <col min="4616" max="4616" width="9.140625" style="255"/>
    <col min="4617" max="4617" width="10.7109375" style="255" bestFit="1" customWidth="1"/>
    <col min="4618" max="4618" width="13.28515625" style="255" customWidth="1"/>
    <col min="4619" max="4619" width="14.5703125" style="255" customWidth="1"/>
    <col min="4620" max="4865" width="9.140625" style="255"/>
    <col min="4866" max="4866" width="30.140625" style="255" customWidth="1"/>
    <col min="4867" max="4867" width="59.42578125" style="255" customWidth="1"/>
    <col min="4868" max="4868" width="55.28515625" style="255" customWidth="1"/>
    <col min="4869" max="4869" width="7.85546875" style="255" customWidth="1"/>
    <col min="4870" max="4870" width="8.140625" style="255" customWidth="1"/>
    <col min="4871" max="4871" width="12.5703125" style="255" customWidth="1"/>
    <col min="4872" max="4872" width="9.140625" style="255"/>
    <col min="4873" max="4873" width="10.7109375" style="255" bestFit="1" customWidth="1"/>
    <col min="4874" max="4874" width="13.28515625" style="255" customWidth="1"/>
    <col min="4875" max="4875" width="14.5703125" style="255" customWidth="1"/>
    <col min="4876" max="5121" width="9.140625" style="255"/>
    <col min="5122" max="5122" width="30.140625" style="255" customWidth="1"/>
    <col min="5123" max="5123" width="59.42578125" style="255" customWidth="1"/>
    <col min="5124" max="5124" width="55.28515625" style="255" customWidth="1"/>
    <col min="5125" max="5125" width="7.85546875" style="255" customWidth="1"/>
    <col min="5126" max="5126" width="8.140625" style="255" customWidth="1"/>
    <col min="5127" max="5127" width="12.5703125" style="255" customWidth="1"/>
    <col min="5128" max="5128" width="9.140625" style="255"/>
    <col min="5129" max="5129" width="10.7109375" style="255" bestFit="1" customWidth="1"/>
    <col min="5130" max="5130" width="13.28515625" style="255" customWidth="1"/>
    <col min="5131" max="5131" width="14.5703125" style="255" customWidth="1"/>
    <col min="5132" max="5377" width="9.140625" style="255"/>
    <col min="5378" max="5378" width="30.140625" style="255" customWidth="1"/>
    <col min="5379" max="5379" width="59.42578125" style="255" customWidth="1"/>
    <col min="5380" max="5380" width="55.28515625" style="255" customWidth="1"/>
    <col min="5381" max="5381" width="7.85546875" style="255" customWidth="1"/>
    <col min="5382" max="5382" width="8.140625" style="255" customWidth="1"/>
    <col min="5383" max="5383" width="12.5703125" style="255" customWidth="1"/>
    <col min="5384" max="5384" width="9.140625" style="255"/>
    <col min="5385" max="5385" width="10.7109375" style="255" bestFit="1" customWidth="1"/>
    <col min="5386" max="5386" width="13.28515625" style="255" customWidth="1"/>
    <col min="5387" max="5387" width="14.5703125" style="255" customWidth="1"/>
    <col min="5388" max="5633" width="9.140625" style="255"/>
    <col min="5634" max="5634" width="30.140625" style="255" customWidth="1"/>
    <col min="5635" max="5635" width="59.42578125" style="255" customWidth="1"/>
    <col min="5636" max="5636" width="55.28515625" style="255" customWidth="1"/>
    <col min="5637" max="5637" width="7.85546875" style="255" customWidth="1"/>
    <col min="5638" max="5638" width="8.140625" style="255" customWidth="1"/>
    <col min="5639" max="5639" width="12.5703125" style="255" customWidth="1"/>
    <col min="5640" max="5640" width="9.140625" style="255"/>
    <col min="5641" max="5641" width="10.7109375" style="255" bestFit="1" customWidth="1"/>
    <col min="5642" max="5642" width="13.28515625" style="255" customWidth="1"/>
    <col min="5643" max="5643" width="14.5703125" style="255" customWidth="1"/>
    <col min="5644" max="5889" width="9.140625" style="255"/>
    <col min="5890" max="5890" width="30.140625" style="255" customWidth="1"/>
    <col min="5891" max="5891" width="59.42578125" style="255" customWidth="1"/>
    <col min="5892" max="5892" width="55.28515625" style="255" customWidth="1"/>
    <col min="5893" max="5893" width="7.85546875" style="255" customWidth="1"/>
    <col min="5894" max="5894" width="8.140625" style="255" customWidth="1"/>
    <col min="5895" max="5895" width="12.5703125" style="255" customWidth="1"/>
    <col min="5896" max="5896" width="9.140625" style="255"/>
    <col min="5897" max="5897" width="10.7109375" style="255" bestFit="1" customWidth="1"/>
    <col min="5898" max="5898" width="13.28515625" style="255" customWidth="1"/>
    <col min="5899" max="5899" width="14.5703125" style="255" customWidth="1"/>
    <col min="5900" max="6145" width="9.140625" style="255"/>
    <col min="6146" max="6146" width="30.140625" style="255" customWidth="1"/>
    <col min="6147" max="6147" width="59.42578125" style="255" customWidth="1"/>
    <col min="6148" max="6148" width="55.28515625" style="255" customWidth="1"/>
    <col min="6149" max="6149" width="7.85546875" style="255" customWidth="1"/>
    <col min="6150" max="6150" width="8.140625" style="255" customWidth="1"/>
    <col min="6151" max="6151" width="12.5703125" style="255" customWidth="1"/>
    <col min="6152" max="6152" width="9.140625" style="255"/>
    <col min="6153" max="6153" width="10.7109375" style="255" bestFit="1" customWidth="1"/>
    <col min="6154" max="6154" width="13.28515625" style="255" customWidth="1"/>
    <col min="6155" max="6155" width="14.5703125" style="255" customWidth="1"/>
    <col min="6156" max="6401" width="9.140625" style="255"/>
    <col min="6402" max="6402" width="30.140625" style="255" customWidth="1"/>
    <col min="6403" max="6403" width="59.42578125" style="255" customWidth="1"/>
    <col min="6404" max="6404" width="55.28515625" style="255" customWidth="1"/>
    <col min="6405" max="6405" width="7.85546875" style="255" customWidth="1"/>
    <col min="6406" max="6406" width="8.140625" style="255" customWidth="1"/>
    <col min="6407" max="6407" width="12.5703125" style="255" customWidth="1"/>
    <col min="6408" max="6408" width="9.140625" style="255"/>
    <col min="6409" max="6409" width="10.7109375" style="255" bestFit="1" customWidth="1"/>
    <col min="6410" max="6410" width="13.28515625" style="255" customWidth="1"/>
    <col min="6411" max="6411" width="14.5703125" style="255" customWidth="1"/>
    <col min="6412" max="6657" width="9.140625" style="255"/>
    <col min="6658" max="6658" width="30.140625" style="255" customWidth="1"/>
    <col min="6659" max="6659" width="59.42578125" style="255" customWidth="1"/>
    <col min="6660" max="6660" width="55.28515625" style="255" customWidth="1"/>
    <col min="6661" max="6661" width="7.85546875" style="255" customWidth="1"/>
    <col min="6662" max="6662" width="8.140625" style="255" customWidth="1"/>
    <col min="6663" max="6663" width="12.5703125" style="255" customWidth="1"/>
    <col min="6664" max="6664" width="9.140625" style="255"/>
    <col min="6665" max="6665" width="10.7109375" style="255" bestFit="1" customWidth="1"/>
    <col min="6666" max="6666" width="13.28515625" style="255" customWidth="1"/>
    <col min="6667" max="6667" width="14.5703125" style="255" customWidth="1"/>
    <col min="6668" max="6913" width="9.140625" style="255"/>
    <col min="6914" max="6914" width="30.140625" style="255" customWidth="1"/>
    <col min="6915" max="6915" width="59.42578125" style="255" customWidth="1"/>
    <col min="6916" max="6916" width="55.28515625" style="255" customWidth="1"/>
    <col min="6917" max="6917" width="7.85546875" style="255" customWidth="1"/>
    <col min="6918" max="6918" width="8.140625" style="255" customWidth="1"/>
    <col min="6919" max="6919" width="12.5703125" style="255" customWidth="1"/>
    <col min="6920" max="6920" width="9.140625" style="255"/>
    <col min="6921" max="6921" width="10.7109375" style="255" bestFit="1" customWidth="1"/>
    <col min="6922" max="6922" width="13.28515625" style="255" customWidth="1"/>
    <col min="6923" max="6923" width="14.5703125" style="255" customWidth="1"/>
    <col min="6924" max="7169" width="9.140625" style="255"/>
    <col min="7170" max="7170" width="30.140625" style="255" customWidth="1"/>
    <col min="7171" max="7171" width="59.42578125" style="255" customWidth="1"/>
    <col min="7172" max="7172" width="55.28515625" style="255" customWidth="1"/>
    <col min="7173" max="7173" width="7.85546875" style="255" customWidth="1"/>
    <col min="7174" max="7174" width="8.140625" style="255" customWidth="1"/>
    <col min="7175" max="7175" width="12.5703125" style="255" customWidth="1"/>
    <col min="7176" max="7176" width="9.140625" style="255"/>
    <col min="7177" max="7177" width="10.7109375" style="255" bestFit="1" customWidth="1"/>
    <col min="7178" max="7178" width="13.28515625" style="255" customWidth="1"/>
    <col min="7179" max="7179" width="14.5703125" style="255" customWidth="1"/>
    <col min="7180" max="7425" width="9.140625" style="255"/>
    <col min="7426" max="7426" width="30.140625" style="255" customWidth="1"/>
    <col min="7427" max="7427" width="59.42578125" style="255" customWidth="1"/>
    <col min="7428" max="7428" width="55.28515625" style="255" customWidth="1"/>
    <col min="7429" max="7429" width="7.85546875" style="255" customWidth="1"/>
    <col min="7430" max="7430" width="8.140625" style="255" customWidth="1"/>
    <col min="7431" max="7431" width="12.5703125" style="255" customWidth="1"/>
    <col min="7432" max="7432" width="9.140625" style="255"/>
    <col min="7433" max="7433" width="10.7109375" style="255" bestFit="1" customWidth="1"/>
    <col min="7434" max="7434" width="13.28515625" style="255" customWidth="1"/>
    <col min="7435" max="7435" width="14.5703125" style="255" customWidth="1"/>
    <col min="7436" max="7681" width="9.140625" style="255"/>
    <col min="7682" max="7682" width="30.140625" style="255" customWidth="1"/>
    <col min="7683" max="7683" width="59.42578125" style="255" customWidth="1"/>
    <col min="7684" max="7684" width="55.28515625" style="255" customWidth="1"/>
    <col min="7685" max="7685" width="7.85546875" style="255" customWidth="1"/>
    <col min="7686" max="7686" width="8.140625" style="255" customWidth="1"/>
    <col min="7687" max="7687" width="12.5703125" style="255" customWidth="1"/>
    <col min="7688" max="7688" width="9.140625" style="255"/>
    <col min="7689" max="7689" width="10.7109375" style="255" bestFit="1" customWidth="1"/>
    <col min="7690" max="7690" width="13.28515625" style="255" customWidth="1"/>
    <col min="7691" max="7691" width="14.5703125" style="255" customWidth="1"/>
    <col min="7692" max="7937" width="9.140625" style="255"/>
    <col min="7938" max="7938" width="30.140625" style="255" customWidth="1"/>
    <col min="7939" max="7939" width="59.42578125" style="255" customWidth="1"/>
    <col min="7940" max="7940" width="55.28515625" style="255" customWidth="1"/>
    <col min="7941" max="7941" width="7.85546875" style="255" customWidth="1"/>
    <col min="7942" max="7942" width="8.140625" style="255" customWidth="1"/>
    <col min="7943" max="7943" width="12.5703125" style="255" customWidth="1"/>
    <col min="7944" max="7944" width="9.140625" style="255"/>
    <col min="7945" max="7945" width="10.7109375" style="255" bestFit="1" customWidth="1"/>
    <col min="7946" max="7946" width="13.28515625" style="255" customWidth="1"/>
    <col min="7947" max="7947" width="14.5703125" style="255" customWidth="1"/>
    <col min="7948" max="8193" width="9.140625" style="255"/>
    <col min="8194" max="8194" width="30.140625" style="255" customWidth="1"/>
    <col min="8195" max="8195" width="59.42578125" style="255" customWidth="1"/>
    <col min="8196" max="8196" width="55.28515625" style="255" customWidth="1"/>
    <col min="8197" max="8197" width="7.85546875" style="255" customWidth="1"/>
    <col min="8198" max="8198" width="8.140625" style="255" customWidth="1"/>
    <col min="8199" max="8199" width="12.5703125" style="255" customWidth="1"/>
    <col min="8200" max="8200" width="9.140625" style="255"/>
    <col min="8201" max="8201" width="10.7109375" style="255" bestFit="1" customWidth="1"/>
    <col min="8202" max="8202" width="13.28515625" style="255" customWidth="1"/>
    <col min="8203" max="8203" width="14.5703125" style="255" customWidth="1"/>
    <col min="8204" max="8449" width="9.140625" style="255"/>
    <col min="8450" max="8450" width="30.140625" style="255" customWidth="1"/>
    <col min="8451" max="8451" width="59.42578125" style="255" customWidth="1"/>
    <col min="8452" max="8452" width="55.28515625" style="255" customWidth="1"/>
    <col min="8453" max="8453" width="7.85546875" style="255" customWidth="1"/>
    <col min="8454" max="8454" width="8.140625" style="255" customWidth="1"/>
    <col min="8455" max="8455" width="12.5703125" style="255" customWidth="1"/>
    <col min="8456" max="8456" width="9.140625" style="255"/>
    <col min="8457" max="8457" width="10.7109375" style="255" bestFit="1" customWidth="1"/>
    <col min="8458" max="8458" width="13.28515625" style="255" customWidth="1"/>
    <col min="8459" max="8459" width="14.5703125" style="255" customWidth="1"/>
    <col min="8460" max="8705" width="9.140625" style="255"/>
    <col min="8706" max="8706" width="30.140625" style="255" customWidth="1"/>
    <col min="8707" max="8707" width="59.42578125" style="255" customWidth="1"/>
    <col min="8708" max="8708" width="55.28515625" style="255" customWidth="1"/>
    <col min="8709" max="8709" width="7.85546875" style="255" customWidth="1"/>
    <col min="8710" max="8710" width="8.140625" style="255" customWidth="1"/>
    <col min="8711" max="8711" width="12.5703125" style="255" customWidth="1"/>
    <col min="8712" max="8712" width="9.140625" style="255"/>
    <col min="8713" max="8713" width="10.7109375" style="255" bestFit="1" customWidth="1"/>
    <col min="8714" max="8714" width="13.28515625" style="255" customWidth="1"/>
    <col min="8715" max="8715" width="14.5703125" style="255" customWidth="1"/>
    <col min="8716" max="8961" width="9.140625" style="255"/>
    <col min="8962" max="8962" width="30.140625" style="255" customWidth="1"/>
    <col min="8963" max="8963" width="59.42578125" style="255" customWidth="1"/>
    <col min="8964" max="8964" width="55.28515625" style="255" customWidth="1"/>
    <col min="8965" max="8965" width="7.85546875" style="255" customWidth="1"/>
    <col min="8966" max="8966" width="8.140625" style="255" customWidth="1"/>
    <col min="8967" max="8967" width="12.5703125" style="255" customWidth="1"/>
    <col min="8968" max="8968" width="9.140625" style="255"/>
    <col min="8969" max="8969" width="10.7109375" style="255" bestFit="1" customWidth="1"/>
    <col min="8970" max="8970" width="13.28515625" style="255" customWidth="1"/>
    <col min="8971" max="8971" width="14.5703125" style="255" customWidth="1"/>
    <col min="8972" max="9217" width="9.140625" style="255"/>
    <col min="9218" max="9218" width="30.140625" style="255" customWidth="1"/>
    <col min="9219" max="9219" width="59.42578125" style="255" customWidth="1"/>
    <col min="9220" max="9220" width="55.28515625" style="255" customWidth="1"/>
    <col min="9221" max="9221" width="7.85546875" style="255" customWidth="1"/>
    <col min="9222" max="9222" width="8.140625" style="255" customWidth="1"/>
    <col min="9223" max="9223" width="12.5703125" style="255" customWidth="1"/>
    <col min="9224" max="9224" width="9.140625" style="255"/>
    <col min="9225" max="9225" width="10.7109375" style="255" bestFit="1" customWidth="1"/>
    <col min="9226" max="9226" width="13.28515625" style="255" customWidth="1"/>
    <col min="9227" max="9227" width="14.5703125" style="255" customWidth="1"/>
    <col min="9228" max="9473" width="9.140625" style="255"/>
    <col min="9474" max="9474" width="30.140625" style="255" customWidth="1"/>
    <col min="9475" max="9475" width="59.42578125" style="255" customWidth="1"/>
    <col min="9476" max="9476" width="55.28515625" style="255" customWidth="1"/>
    <col min="9477" max="9477" width="7.85546875" style="255" customWidth="1"/>
    <col min="9478" max="9478" width="8.140625" style="255" customWidth="1"/>
    <col min="9479" max="9479" width="12.5703125" style="255" customWidth="1"/>
    <col min="9480" max="9480" width="9.140625" style="255"/>
    <col min="9481" max="9481" width="10.7109375" style="255" bestFit="1" customWidth="1"/>
    <col min="9482" max="9482" width="13.28515625" style="255" customWidth="1"/>
    <col min="9483" max="9483" width="14.5703125" style="255" customWidth="1"/>
    <col min="9484" max="9729" width="9.140625" style="255"/>
    <col min="9730" max="9730" width="30.140625" style="255" customWidth="1"/>
    <col min="9731" max="9731" width="59.42578125" style="255" customWidth="1"/>
    <col min="9732" max="9732" width="55.28515625" style="255" customWidth="1"/>
    <col min="9733" max="9733" width="7.85546875" style="255" customWidth="1"/>
    <col min="9734" max="9734" width="8.140625" style="255" customWidth="1"/>
    <col min="9735" max="9735" width="12.5703125" style="255" customWidth="1"/>
    <col min="9736" max="9736" width="9.140625" style="255"/>
    <col min="9737" max="9737" width="10.7109375" style="255" bestFit="1" customWidth="1"/>
    <col min="9738" max="9738" width="13.28515625" style="255" customWidth="1"/>
    <col min="9739" max="9739" width="14.5703125" style="255" customWidth="1"/>
    <col min="9740" max="9985" width="9.140625" style="255"/>
    <col min="9986" max="9986" width="30.140625" style="255" customWidth="1"/>
    <col min="9987" max="9987" width="59.42578125" style="255" customWidth="1"/>
    <col min="9988" max="9988" width="55.28515625" style="255" customWidth="1"/>
    <col min="9989" max="9989" width="7.85546875" style="255" customWidth="1"/>
    <col min="9990" max="9990" width="8.140625" style="255" customWidth="1"/>
    <col min="9991" max="9991" width="12.5703125" style="255" customWidth="1"/>
    <col min="9992" max="9992" width="9.140625" style="255"/>
    <col min="9993" max="9993" width="10.7109375" style="255" bestFit="1" customWidth="1"/>
    <col min="9994" max="9994" width="13.28515625" style="255" customWidth="1"/>
    <col min="9995" max="9995" width="14.5703125" style="255" customWidth="1"/>
    <col min="9996" max="10241" width="9.140625" style="255"/>
    <col min="10242" max="10242" width="30.140625" style="255" customWidth="1"/>
    <col min="10243" max="10243" width="59.42578125" style="255" customWidth="1"/>
    <col min="10244" max="10244" width="55.28515625" style="255" customWidth="1"/>
    <col min="10245" max="10245" width="7.85546875" style="255" customWidth="1"/>
    <col min="10246" max="10246" width="8.140625" style="255" customWidth="1"/>
    <col min="10247" max="10247" width="12.5703125" style="255" customWidth="1"/>
    <col min="10248" max="10248" width="9.140625" style="255"/>
    <col min="10249" max="10249" width="10.7109375" style="255" bestFit="1" customWidth="1"/>
    <col min="10250" max="10250" width="13.28515625" style="255" customWidth="1"/>
    <col min="10251" max="10251" width="14.5703125" style="255" customWidth="1"/>
    <col min="10252" max="10497" width="9.140625" style="255"/>
    <col min="10498" max="10498" width="30.140625" style="255" customWidth="1"/>
    <col min="10499" max="10499" width="59.42578125" style="255" customWidth="1"/>
    <col min="10500" max="10500" width="55.28515625" style="255" customWidth="1"/>
    <col min="10501" max="10501" width="7.85546875" style="255" customWidth="1"/>
    <col min="10502" max="10502" width="8.140625" style="255" customWidth="1"/>
    <col min="10503" max="10503" width="12.5703125" style="255" customWidth="1"/>
    <col min="10504" max="10504" width="9.140625" style="255"/>
    <col min="10505" max="10505" width="10.7109375" style="255" bestFit="1" customWidth="1"/>
    <col min="10506" max="10506" width="13.28515625" style="255" customWidth="1"/>
    <col min="10507" max="10507" width="14.5703125" style="255" customWidth="1"/>
    <col min="10508" max="10753" width="9.140625" style="255"/>
    <col min="10754" max="10754" width="30.140625" style="255" customWidth="1"/>
    <col min="10755" max="10755" width="59.42578125" style="255" customWidth="1"/>
    <col min="10756" max="10756" width="55.28515625" style="255" customWidth="1"/>
    <col min="10757" max="10757" width="7.85546875" style="255" customWidth="1"/>
    <col min="10758" max="10758" width="8.140625" style="255" customWidth="1"/>
    <col min="10759" max="10759" width="12.5703125" style="255" customWidth="1"/>
    <col min="10760" max="10760" width="9.140625" style="255"/>
    <col min="10761" max="10761" width="10.7109375" style="255" bestFit="1" customWidth="1"/>
    <col min="10762" max="10762" width="13.28515625" style="255" customWidth="1"/>
    <col min="10763" max="10763" width="14.5703125" style="255" customWidth="1"/>
    <col min="10764" max="11009" width="9.140625" style="255"/>
    <col min="11010" max="11010" width="30.140625" style="255" customWidth="1"/>
    <col min="11011" max="11011" width="59.42578125" style="255" customWidth="1"/>
    <col min="11012" max="11012" width="55.28515625" style="255" customWidth="1"/>
    <col min="11013" max="11013" width="7.85546875" style="255" customWidth="1"/>
    <col min="11014" max="11014" width="8.140625" style="255" customWidth="1"/>
    <col min="11015" max="11015" width="12.5703125" style="255" customWidth="1"/>
    <col min="11016" max="11016" width="9.140625" style="255"/>
    <col min="11017" max="11017" width="10.7109375" style="255" bestFit="1" customWidth="1"/>
    <col min="11018" max="11018" width="13.28515625" style="255" customWidth="1"/>
    <col min="11019" max="11019" width="14.5703125" style="255" customWidth="1"/>
    <col min="11020" max="11265" width="9.140625" style="255"/>
    <col min="11266" max="11266" width="30.140625" style="255" customWidth="1"/>
    <col min="11267" max="11267" width="59.42578125" style="255" customWidth="1"/>
    <col min="11268" max="11268" width="55.28515625" style="255" customWidth="1"/>
    <col min="11269" max="11269" width="7.85546875" style="255" customWidth="1"/>
    <col min="11270" max="11270" width="8.140625" style="255" customWidth="1"/>
    <col min="11271" max="11271" width="12.5703125" style="255" customWidth="1"/>
    <col min="11272" max="11272" width="9.140625" style="255"/>
    <col min="11273" max="11273" width="10.7109375" style="255" bestFit="1" customWidth="1"/>
    <col min="11274" max="11274" width="13.28515625" style="255" customWidth="1"/>
    <col min="11275" max="11275" width="14.5703125" style="255" customWidth="1"/>
    <col min="11276" max="11521" width="9.140625" style="255"/>
    <col min="11522" max="11522" width="30.140625" style="255" customWidth="1"/>
    <col min="11523" max="11523" width="59.42578125" style="255" customWidth="1"/>
    <col min="11524" max="11524" width="55.28515625" style="255" customWidth="1"/>
    <col min="11525" max="11525" width="7.85546875" style="255" customWidth="1"/>
    <col min="11526" max="11526" width="8.140625" style="255" customWidth="1"/>
    <col min="11527" max="11527" width="12.5703125" style="255" customWidth="1"/>
    <col min="11528" max="11528" width="9.140625" style="255"/>
    <col min="11529" max="11529" width="10.7109375" style="255" bestFit="1" customWidth="1"/>
    <col min="11530" max="11530" width="13.28515625" style="255" customWidth="1"/>
    <col min="11531" max="11531" width="14.5703125" style="255" customWidth="1"/>
    <col min="11532" max="11777" width="9.140625" style="255"/>
    <col min="11778" max="11778" width="30.140625" style="255" customWidth="1"/>
    <col min="11779" max="11779" width="59.42578125" style="255" customWidth="1"/>
    <col min="11780" max="11780" width="55.28515625" style="255" customWidth="1"/>
    <col min="11781" max="11781" width="7.85546875" style="255" customWidth="1"/>
    <col min="11782" max="11782" width="8.140625" style="255" customWidth="1"/>
    <col min="11783" max="11783" width="12.5703125" style="255" customWidth="1"/>
    <col min="11784" max="11784" width="9.140625" style="255"/>
    <col min="11785" max="11785" width="10.7109375" style="255" bestFit="1" customWidth="1"/>
    <col min="11786" max="11786" width="13.28515625" style="255" customWidth="1"/>
    <col min="11787" max="11787" width="14.5703125" style="255" customWidth="1"/>
    <col min="11788" max="12033" width="9.140625" style="255"/>
    <col min="12034" max="12034" width="30.140625" style="255" customWidth="1"/>
    <col min="12035" max="12035" width="59.42578125" style="255" customWidth="1"/>
    <col min="12036" max="12036" width="55.28515625" style="255" customWidth="1"/>
    <col min="12037" max="12037" width="7.85546875" style="255" customWidth="1"/>
    <col min="12038" max="12038" width="8.140625" style="255" customWidth="1"/>
    <col min="12039" max="12039" width="12.5703125" style="255" customWidth="1"/>
    <col min="12040" max="12040" width="9.140625" style="255"/>
    <col min="12041" max="12041" width="10.7109375" style="255" bestFit="1" customWidth="1"/>
    <col min="12042" max="12042" width="13.28515625" style="255" customWidth="1"/>
    <col min="12043" max="12043" width="14.5703125" style="255" customWidth="1"/>
    <col min="12044" max="12289" width="9.140625" style="255"/>
    <col min="12290" max="12290" width="30.140625" style="255" customWidth="1"/>
    <col min="12291" max="12291" width="59.42578125" style="255" customWidth="1"/>
    <col min="12292" max="12292" width="55.28515625" style="255" customWidth="1"/>
    <col min="12293" max="12293" width="7.85546875" style="255" customWidth="1"/>
    <col min="12294" max="12294" width="8.140625" style="255" customWidth="1"/>
    <col min="12295" max="12295" width="12.5703125" style="255" customWidth="1"/>
    <col min="12296" max="12296" width="9.140625" style="255"/>
    <col min="12297" max="12297" width="10.7109375" style="255" bestFit="1" customWidth="1"/>
    <col min="12298" max="12298" width="13.28515625" style="255" customWidth="1"/>
    <col min="12299" max="12299" width="14.5703125" style="255" customWidth="1"/>
    <col min="12300" max="12545" width="9.140625" style="255"/>
    <col min="12546" max="12546" width="30.140625" style="255" customWidth="1"/>
    <col min="12547" max="12547" width="59.42578125" style="255" customWidth="1"/>
    <col min="12548" max="12548" width="55.28515625" style="255" customWidth="1"/>
    <col min="12549" max="12549" width="7.85546875" style="255" customWidth="1"/>
    <col min="12550" max="12550" width="8.140625" style="255" customWidth="1"/>
    <col min="12551" max="12551" width="12.5703125" style="255" customWidth="1"/>
    <col min="12552" max="12552" width="9.140625" style="255"/>
    <col min="12553" max="12553" width="10.7109375" style="255" bestFit="1" customWidth="1"/>
    <col min="12554" max="12554" width="13.28515625" style="255" customWidth="1"/>
    <col min="12555" max="12555" width="14.5703125" style="255" customWidth="1"/>
    <col min="12556" max="12801" width="9.140625" style="255"/>
    <col min="12802" max="12802" width="30.140625" style="255" customWidth="1"/>
    <col min="12803" max="12803" width="59.42578125" style="255" customWidth="1"/>
    <col min="12804" max="12804" width="55.28515625" style="255" customWidth="1"/>
    <col min="12805" max="12805" width="7.85546875" style="255" customWidth="1"/>
    <col min="12806" max="12806" width="8.140625" style="255" customWidth="1"/>
    <col min="12807" max="12807" width="12.5703125" style="255" customWidth="1"/>
    <col min="12808" max="12808" width="9.140625" style="255"/>
    <col min="12809" max="12809" width="10.7109375" style="255" bestFit="1" customWidth="1"/>
    <col min="12810" max="12810" width="13.28515625" style="255" customWidth="1"/>
    <col min="12811" max="12811" width="14.5703125" style="255" customWidth="1"/>
    <col min="12812" max="13057" width="9.140625" style="255"/>
    <col min="13058" max="13058" width="30.140625" style="255" customWidth="1"/>
    <col min="13059" max="13059" width="59.42578125" style="255" customWidth="1"/>
    <col min="13060" max="13060" width="55.28515625" style="255" customWidth="1"/>
    <col min="13061" max="13061" width="7.85546875" style="255" customWidth="1"/>
    <col min="13062" max="13062" width="8.140625" style="255" customWidth="1"/>
    <col min="13063" max="13063" width="12.5703125" style="255" customWidth="1"/>
    <col min="13064" max="13064" width="9.140625" style="255"/>
    <col min="13065" max="13065" width="10.7109375" style="255" bestFit="1" customWidth="1"/>
    <col min="13066" max="13066" width="13.28515625" style="255" customWidth="1"/>
    <col min="13067" max="13067" width="14.5703125" style="255" customWidth="1"/>
    <col min="13068" max="13313" width="9.140625" style="255"/>
    <col min="13314" max="13314" width="30.140625" style="255" customWidth="1"/>
    <col min="13315" max="13315" width="59.42578125" style="255" customWidth="1"/>
    <col min="13316" max="13316" width="55.28515625" style="255" customWidth="1"/>
    <col min="13317" max="13317" width="7.85546875" style="255" customWidth="1"/>
    <col min="13318" max="13318" width="8.140625" style="255" customWidth="1"/>
    <col min="13319" max="13319" width="12.5703125" style="255" customWidth="1"/>
    <col min="13320" max="13320" width="9.140625" style="255"/>
    <col min="13321" max="13321" width="10.7109375" style="255" bestFit="1" customWidth="1"/>
    <col min="13322" max="13322" width="13.28515625" style="255" customWidth="1"/>
    <col min="13323" max="13323" width="14.5703125" style="255" customWidth="1"/>
    <col min="13324" max="13569" width="9.140625" style="255"/>
    <col min="13570" max="13570" width="30.140625" style="255" customWidth="1"/>
    <col min="13571" max="13571" width="59.42578125" style="255" customWidth="1"/>
    <col min="13572" max="13572" width="55.28515625" style="255" customWidth="1"/>
    <col min="13573" max="13573" width="7.85546875" style="255" customWidth="1"/>
    <col min="13574" max="13574" width="8.140625" style="255" customWidth="1"/>
    <col min="13575" max="13575" width="12.5703125" style="255" customWidth="1"/>
    <col min="13576" max="13576" width="9.140625" style="255"/>
    <col min="13577" max="13577" width="10.7109375" style="255" bestFit="1" customWidth="1"/>
    <col min="13578" max="13578" width="13.28515625" style="255" customWidth="1"/>
    <col min="13579" max="13579" width="14.5703125" style="255" customWidth="1"/>
    <col min="13580" max="13825" width="9.140625" style="255"/>
    <col min="13826" max="13826" width="30.140625" style="255" customWidth="1"/>
    <col min="13827" max="13827" width="59.42578125" style="255" customWidth="1"/>
    <col min="13828" max="13828" width="55.28515625" style="255" customWidth="1"/>
    <col min="13829" max="13829" width="7.85546875" style="255" customWidth="1"/>
    <col min="13830" max="13830" width="8.140625" style="255" customWidth="1"/>
    <col min="13831" max="13831" width="12.5703125" style="255" customWidth="1"/>
    <col min="13832" max="13832" width="9.140625" style="255"/>
    <col min="13833" max="13833" width="10.7109375" style="255" bestFit="1" customWidth="1"/>
    <col min="13834" max="13834" width="13.28515625" style="255" customWidth="1"/>
    <col min="13835" max="13835" width="14.5703125" style="255" customWidth="1"/>
    <col min="13836" max="14081" width="9.140625" style="255"/>
    <col min="14082" max="14082" width="30.140625" style="255" customWidth="1"/>
    <col min="14083" max="14083" width="59.42578125" style="255" customWidth="1"/>
    <col min="14084" max="14084" width="55.28515625" style="255" customWidth="1"/>
    <col min="14085" max="14085" width="7.85546875" style="255" customWidth="1"/>
    <col min="14086" max="14086" width="8.140625" style="255" customWidth="1"/>
    <col min="14087" max="14087" width="12.5703125" style="255" customWidth="1"/>
    <col min="14088" max="14088" width="9.140625" style="255"/>
    <col min="14089" max="14089" width="10.7109375" style="255" bestFit="1" customWidth="1"/>
    <col min="14090" max="14090" width="13.28515625" style="255" customWidth="1"/>
    <col min="14091" max="14091" width="14.5703125" style="255" customWidth="1"/>
    <col min="14092" max="14337" width="9.140625" style="255"/>
    <col min="14338" max="14338" width="30.140625" style="255" customWidth="1"/>
    <col min="14339" max="14339" width="59.42578125" style="255" customWidth="1"/>
    <col min="14340" max="14340" width="55.28515625" style="255" customWidth="1"/>
    <col min="14341" max="14341" width="7.85546875" style="255" customWidth="1"/>
    <col min="14342" max="14342" width="8.140625" style="255" customWidth="1"/>
    <col min="14343" max="14343" width="12.5703125" style="255" customWidth="1"/>
    <col min="14344" max="14344" width="9.140625" style="255"/>
    <col min="14345" max="14345" width="10.7109375" style="255" bestFit="1" customWidth="1"/>
    <col min="14346" max="14346" width="13.28515625" style="255" customWidth="1"/>
    <col min="14347" max="14347" width="14.5703125" style="255" customWidth="1"/>
    <col min="14348" max="14593" width="9.140625" style="255"/>
    <col min="14594" max="14594" width="30.140625" style="255" customWidth="1"/>
    <col min="14595" max="14595" width="59.42578125" style="255" customWidth="1"/>
    <col min="14596" max="14596" width="55.28515625" style="255" customWidth="1"/>
    <col min="14597" max="14597" width="7.85546875" style="255" customWidth="1"/>
    <col min="14598" max="14598" width="8.140625" style="255" customWidth="1"/>
    <col min="14599" max="14599" width="12.5703125" style="255" customWidth="1"/>
    <col min="14600" max="14600" width="9.140625" style="255"/>
    <col min="14601" max="14601" width="10.7109375" style="255" bestFit="1" customWidth="1"/>
    <col min="14602" max="14602" width="13.28515625" style="255" customWidth="1"/>
    <col min="14603" max="14603" width="14.5703125" style="255" customWidth="1"/>
    <col min="14604" max="14849" width="9.140625" style="255"/>
    <col min="14850" max="14850" width="30.140625" style="255" customWidth="1"/>
    <col min="14851" max="14851" width="59.42578125" style="255" customWidth="1"/>
    <col min="14852" max="14852" width="55.28515625" style="255" customWidth="1"/>
    <col min="14853" max="14853" width="7.85546875" style="255" customWidth="1"/>
    <col min="14854" max="14854" width="8.140625" style="255" customWidth="1"/>
    <col min="14855" max="14855" width="12.5703125" style="255" customWidth="1"/>
    <col min="14856" max="14856" width="9.140625" style="255"/>
    <col min="14857" max="14857" width="10.7109375" style="255" bestFit="1" customWidth="1"/>
    <col min="14858" max="14858" width="13.28515625" style="255" customWidth="1"/>
    <col min="14859" max="14859" width="14.5703125" style="255" customWidth="1"/>
    <col min="14860" max="15105" width="9.140625" style="255"/>
    <col min="15106" max="15106" width="30.140625" style="255" customWidth="1"/>
    <col min="15107" max="15107" width="59.42578125" style="255" customWidth="1"/>
    <col min="15108" max="15108" width="55.28515625" style="255" customWidth="1"/>
    <col min="15109" max="15109" width="7.85546875" style="255" customWidth="1"/>
    <col min="15110" max="15110" width="8.140625" style="255" customWidth="1"/>
    <col min="15111" max="15111" width="12.5703125" style="255" customWidth="1"/>
    <col min="15112" max="15112" width="9.140625" style="255"/>
    <col min="15113" max="15113" width="10.7109375" style="255" bestFit="1" customWidth="1"/>
    <col min="15114" max="15114" width="13.28515625" style="255" customWidth="1"/>
    <col min="15115" max="15115" width="14.5703125" style="255" customWidth="1"/>
    <col min="15116" max="15361" width="9.140625" style="255"/>
    <col min="15362" max="15362" width="30.140625" style="255" customWidth="1"/>
    <col min="15363" max="15363" width="59.42578125" style="255" customWidth="1"/>
    <col min="15364" max="15364" width="55.28515625" style="255" customWidth="1"/>
    <col min="15365" max="15365" width="7.85546875" style="255" customWidth="1"/>
    <col min="15366" max="15366" width="8.140625" style="255" customWidth="1"/>
    <col min="15367" max="15367" width="12.5703125" style="255" customWidth="1"/>
    <col min="15368" max="15368" width="9.140625" style="255"/>
    <col min="15369" max="15369" width="10.7109375" style="255" bestFit="1" customWidth="1"/>
    <col min="15370" max="15370" width="13.28515625" style="255" customWidth="1"/>
    <col min="15371" max="15371" width="14.5703125" style="255" customWidth="1"/>
    <col min="15372" max="15617" width="9.140625" style="255"/>
    <col min="15618" max="15618" width="30.140625" style="255" customWidth="1"/>
    <col min="15619" max="15619" width="59.42578125" style="255" customWidth="1"/>
    <col min="15620" max="15620" width="55.28515625" style="255" customWidth="1"/>
    <col min="15621" max="15621" width="7.85546875" style="255" customWidth="1"/>
    <col min="15622" max="15622" width="8.140625" style="255" customWidth="1"/>
    <col min="15623" max="15623" width="12.5703125" style="255" customWidth="1"/>
    <col min="15624" max="15624" width="9.140625" style="255"/>
    <col min="15625" max="15625" width="10.7109375" style="255" bestFit="1" customWidth="1"/>
    <col min="15626" max="15626" width="13.28515625" style="255" customWidth="1"/>
    <col min="15627" max="15627" width="14.5703125" style="255" customWidth="1"/>
    <col min="15628" max="15873" width="9.140625" style="255"/>
    <col min="15874" max="15874" width="30.140625" style="255" customWidth="1"/>
    <col min="15875" max="15875" width="59.42578125" style="255" customWidth="1"/>
    <col min="15876" max="15876" width="55.28515625" style="255" customWidth="1"/>
    <col min="15877" max="15877" width="7.85546875" style="255" customWidth="1"/>
    <col min="15878" max="15878" width="8.140625" style="255" customWidth="1"/>
    <col min="15879" max="15879" width="12.5703125" style="255" customWidth="1"/>
    <col min="15880" max="15880" width="9.140625" style="255"/>
    <col min="15881" max="15881" width="10.7109375" style="255" bestFit="1" customWidth="1"/>
    <col min="15882" max="15882" width="13.28515625" style="255" customWidth="1"/>
    <col min="15883" max="15883" width="14.5703125" style="255" customWidth="1"/>
    <col min="15884" max="16129" width="9.140625" style="255"/>
    <col min="16130" max="16130" width="30.140625" style="255" customWidth="1"/>
    <col min="16131" max="16131" width="59.42578125" style="255" customWidth="1"/>
    <col min="16132" max="16132" width="55.28515625" style="255" customWidth="1"/>
    <col min="16133" max="16133" width="7.85546875" style="255" customWidth="1"/>
    <col min="16134" max="16134" width="8.140625" style="255" customWidth="1"/>
    <col min="16135" max="16135" width="12.5703125" style="255" customWidth="1"/>
    <col min="16136" max="16136" width="9.140625" style="255"/>
    <col min="16137" max="16137" width="10.7109375" style="255" bestFit="1" customWidth="1"/>
    <col min="16138" max="16138" width="13.28515625" style="255" customWidth="1"/>
    <col min="16139" max="16139" width="14.5703125" style="255" customWidth="1"/>
    <col min="16140" max="16384" width="9.140625" style="255"/>
  </cols>
  <sheetData>
    <row r="1" spans="1:15" ht="18.75" customHeight="1" x14ac:dyDescent="0.25">
      <c r="C1" s="256"/>
      <c r="D1" s="256"/>
      <c r="E1" s="256"/>
      <c r="F1" s="256"/>
      <c r="G1" s="256"/>
      <c r="H1" s="256"/>
      <c r="I1" s="256" t="s">
        <v>420</v>
      </c>
      <c r="J1" s="256"/>
      <c r="K1" s="256"/>
      <c r="L1" s="256"/>
      <c r="M1" s="256"/>
      <c r="N1" s="256"/>
      <c r="O1" s="256"/>
    </row>
    <row r="2" spans="1:15" ht="54.75" customHeight="1" x14ac:dyDescent="0.25">
      <c r="A2" s="720" t="s">
        <v>421</v>
      </c>
      <c r="B2" s="721"/>
      <c r="C2" s="721"/>
      <c r="D2" s="721"/>
      <c r="E2" s="721"/>
      <c r="F2" s="721"/>
      <c r="G2" s="721"/>
      <c r="H2" s="721"/>
      <c r="I2" s="721"/>
      <c r="J2" s="721"/>
      <c r="K2" s="722"/>
    </row>
    <row r="4" spans="1:15" ht="96.75" customHeight="1" x14ac:dyDescent="0.25">
      <c r="A4" s="257" t="s">
        <v>1</v>
      </c>
      <c r="B4" s="723" t="s">
        <v>422</v>
      </c>
      <c r="C4" s="724"/>
      <c r="D4" s="725" t="s">
        <v>423</v>
      </c>
      <c r="E4" s="725"/>
      <c r="F4" s="725" t="s">
        <v>424</v>
      </c>
      <c r="G4" s="726"/>
      <c r="H4" s="725" t="s">
        <v>425</v>
      </c>
      <c r="I4" s="726"/>
      <c r="J4" s="258" t="s">
        <v>426</v>
      </c>
      <c r="K4" s="259" t="s">
        <v>427</v>
      </c>
    </row>
    <row r="5" spans="1:15" ht="29.25" hidden="1" customHeight="1" x14ac:dyDescent="0.25">
      <c r="A5" s="260" t="s">
        <v>428</v>
      </c>
      <c r="B5" s="727" t="s">
        <v>429</v>
      </c>
      <c r="C5" s="728"/>
      <c r="D5" s="728"/>
      <c r="E5" s="728"/>
      <c r="F5" s="728"/>
      <c r="G5" s="728"/>
      <c r="H5" s="728"/>
      <c r="I5" s="728"/>
      <c r="J5" s="728"/>
      <c r="K5" s="728"/>
    </row>
    <row r="6" spans="1:15" ht="63.75" hidden="1" customHeight="1" x14ac:dyDescent="0.25">
      <c r="A6" s="738" t="s">
        <v>430</v>
      </c>
      <c r="B6" s="732" t="s">
        <v>431</v>
      </c>
      <c r="C6" s="739" t="s">
        <v>432</v>
      </c>
      <c r="D6" s="261" t="s">
        <v>433</v>
      </c>
      <c r="E6" s="735" t="s">
        <v>434</v>
      </c>
      <c r="F6" s="262"/>
      <c r="G6" s="740"/>
      <c r="H6" s="263"/>
      <c r="I6" s="740"/>
      <c r="J6" s="729"/>
      <c r="K6" s="731"/>
    </row>
    <row r="7" spans="1:15" ht="52.5" hidden="1" customHeight="1" x14ac:dyDescent="0.25">
      <c r="A7" s="738"/>
      <c r="B7" s="725"/>
      <c r="C7" s="723"/>
      <c r="D7" s="264" t="s">
        <v>435</v>
      </c>
      <c r="E7" s="735"/>
      <c r="F7" s="265"/>
      <c r="G7" s="736"/>
      <c r="H7" s="266"/>
      <c r="I7" s="736"/>
      <c r="J7" s="730"/>
      <c r="K7" s="732"/>
    </row>
    <row r="8" spans="1:15" ht="70.5" hidden="1" customHeight="1" x14ac:dyDescent="0.25">
      <c r="A8" s="738"/>
      <c r="B8" s="725"/>
      <c r="C8" s="723" t="s">
        <v>436</v>
      </c>
      <c r="D8" s="267" t="s">
        <v>437</v>
      </c>
      <c r="E8" s="734" t="s">
        <v>434</v>
      </c>
      <c r="F8" s="268"/>
      <c r="G8" s="736"/>
      <c r="H8" s="268"/>
      <c r="I8" s="736"/>
      <c r="J8" s="736"/>
      <c r="K8" s="737"/>
    </row>
    <row r="9" spans="1:15" ht="31.5" hidden="1" customHeight="1" x14ac:dyDescent="0.25">
      <c r="A9" s="738"/>
      <c r="B9" s="737"/>
      <c r="C9" s="733"/>
      <c r="D9" s="269" t="s">
        <v>435</v>
      </c>
      <c r="E9" s="735"/>
      <c r="F9" s="266"/>
      <c r="G9" s="736"/>
      <c r="H9" s="266"/>
      <c r="I9" s="736"/>
      <c r="J9" s="736"/>
      <c r="K9" s="731"/>
    </row>
    <row r="10" spans="1:15" ht="143.25" hidden="1" customHeight="1" x14ac:dyDescent="0.25">
      <c r="A10" s="725" t="s">
        <v>438</v>
      </c>
      <c r="B10" s="725" t="s">
        <v>439</v>
      </c>
      <c r="C10" s="746" t="s">
        <v>440</v>
      </c>
      <c r="D10" s="747" t="s">
        <v>441</v>
      </c>
      <c r="E10" s="747"/>
      <c r="F10" s="268"/>
      <c r="G10" s="725"/>
      <c r="H10" s="268"/>
      <c r="I10" s="725"/>
      <c r="J10" s="736"/>
      <c r="K10" s="741"/>
    </row>
    <row r="11" spans="1:15" ht="31.5" hidden="1" customHeight="1" x14ac:dyDescent="0.25">
      <c r="A11" s="725"/>
      <c r="B11" s="725"/>
      <c r="C11" s="746"/>
      <c r="D11" s="743" t="s">
        <v>442</v>
      </c>
      <c r="E11" s="743"/>
      <c r="F11" s="266"/>
      <c r="G11" s="725"/>
      <c r="H11" s="266"/>
      <c r="I11" s="725"/>
      <c r="J11" s="736"/>
      <c r="K11" s="742"/>
    </row>
    <row r="12" spans="1:15" ht="27.75" hidden="1" customHeight="1" x14ac:dyDescent="0.25">
      <c r="A12" s="741" t="s">
        <v>443</v>
      </c>
      <c r="B12" s="725" t="s">
        <v>444</v>
      </c>
      <c r="C12" s="739" t="s">
        <v>445</v>
      </c>
      <c r="D12" s="267" t="s">
        <v>446</v>
      </c>
      <c r="E12" s="734" t="s">
        <v>434</v>
      </c>
      <c r="F12" s="270"/>
      <c r="G12" s="736"/>
      <c r="H12" s="268"/>
      <c r="I12" s="725"/>
      <c r="J12" s="736"/>
      <c r="K12" s="741"/>
    </row>
    <row r="13" spans="1:15" ht="31.5" hidden="1" customHeight="1" x14ac:dyDescent="0.25">
      <c r="A13" s="744"/>
      <c r="B13" s="725"/>
      <c r="C13" s="723"/>
      <c r="D13" s="271" t="s">
        <v>447</v>
      </c>
      <c r="E13" s="745"/>
      <c r="F13" s="266"/>
      <c r="G13" s="736"/>
      <c r="H13" s="266"/>
      <c r="I13" s="725"/>
      <c r="J13" s="736"/>
      <c r="K13" s="744"/>
    </row>
    <row r="14" spans="1:15" ht="31.5" hidden="1" customHeight="1" x14ac:dyDescent="0.25">
      <c r="A14" s="744"/>
      <c r="B14" s="725"/>
      <c r="C14" s="725" t="s">
        <v>448</v>
      </c>
      <c r="D14" s="749" t="s">
        <v>449</v>
      </c>
      <c r="E14" s="749"/>
      <c r="F14" s="268"/>
      <c r="G14" s="725"/>
      <c r="H14" s="268"/>
      <c r="I14" s="725"/>
      <c r="J14" s="736"/>
      <c r="K14" s="741"/>
    </row>
    <row r="15" spans="1:15" ht="31.5" hidden="1" customHeight="1" x14ac:dyDescent="0.25">
      <c r="A15" s="744"/>
      <c r="B15" s="725"/>
      <c r="C15" s="725"/>
      <c r="D15" s="748" t="s">
        <v>450</v>
      </c>
      <c r="E15" s="748"/>
      <c r="F15" s="266"/>
      <c r="G15" s="725"/>
      <c r="H15" s="266"/>
      <c r="I15" s="725"/>
      <c r="J15" s="736"/>
      <c r="K15" s="744"/>
    </row>
    <row r="16" spans="1:15" ht="31.5" hidden="1" customHeight="1" x14ac:dyDescent="0.25">
      <c r="A16" s="744"/>
      <c r="B16" s="725"/>
      <c r="C16" s="725" t="s">
        <v>451</v>
      </c>
      <c r="D16" s="747" t="s">
        <v>449</v>
      </c>
      <c r="E16" s="747"/>
      <c r="F16" s="268"/>
      <c r="G16" s="736"/>
      <c r="H16" s="268"/>
      <c r="I16" s="725"/>
      <c r="J16" s="736"/>
      <c r="K16" s="737"/>
    </row>
    <row r="17" spans="1:11" ht="31.5" hidden="1" customHeight="1" x14ac:dyDescent="0.25">
      <c r="A17" s="744"/>
      <c r="B17" s="725"/>
      <c r="C17" s="725"/>
      <c r="D17" s="748" t="s">
        <v>452</v>
      </c>
      <c r="E17" s="748"/>
      <c r="F17" s="266"/>
      <c r="G17" s="736"/>
      <c r="H17" s="266"/>
      <c r="I17" s="725"/>
      <c r="J17" s="736"/>
      <c r="K17" s="732"/>
    </row>
    <row r="18" spans="1:11" ht="31.5" hidden="1" customHeight="1" x14ac:dyDescent="0.25">
      <c r="A18" s="272" t="s">
        <v>382</v>
      </c>
      <c r="B18" s="752" t="s">
        <v>453</v>
      </c>
      <c r="C18" s="753"/>
      <c r="D18" s="753"/>
      <c r="E18" s="753"/>
      <c r="F18" s="753"/>
      <c r="G18" s="753"/>
      <c r="H18" s="753"/>
      <c r="I18" s="753"/>
      <c r="J18" s="753"/>
      <c r="K18" s="754"/>
    </row>
    <row r="19" spans="1:11" ht="60" hidden="1" customHeight="1" x14ac:dyDescent="0.25">
      <c r="A19" s="725" t="s">
        <v>454</v>
      </c>
      <c r="B19" s="725" t="s">
        <v>455</v>
      </c>
      <c r="C19" s="725" t="s">
        <v>456</v>
      </c>
      <c r="D19" s="747" t="s">
        <v>457</v>
      </c>
      <c r="E19" s="747"/>
      <c r="F19" s="268"/>
      <c r="G19" s="736"/>
      <c r="H19" s="268"/>
      <c r="I19" s="736"/>
      <c r="J19" s="736"/>
      <c r="K19" s="741"/>
    </row>
    <row r="20" spans="1:11" ht="40.5" hidden="1" customHeight="1" x14ac:dyDescent="0.25">
      <c r="A20" s="725"/>
      <c r="B20" s="725"/>
      <c r="C20" s="725"/>
      <c r="D20" s="743" t="s">
        <v>458</v>
      </c>
      <c r="E20" s="743"/>
      <c r="F20" s="266"/>
      <c r="G20" s="736"/>
      <c r="H20" s="266"/>
      <c r="I20" s="736"/>
      <c r="J20" s="736"/>
      <c r="K20" s="742"/>
    </row>
    <row r="21" spans="1:11" ht="51.75" hidden="1" x14ac:dyDescent="0.25">
      <c r="A21" s="725"/>
      <c r="B21" s="725"/>
      <c r="C21" s="723" t="s">
        <v>459</v>
      </c>
      <c r="D21" s="267" t="s">
        <v>460</v>
      </c>
      <c r="E21" s="750" t="s">
        <v>434</v>
      </c>
      <c r="F21" s="270"/>
      <c r="G21" s="736"/>
      <c r="H21" s="268"/>
      <c r="I21" s="725"/>
      <c r="J21" s="736"/>
      <c r="K21" s="741"/>
    </row>
    <row r="22" spans="1:11" ht="54" hidden="1" customHeight="1" x14ac:dyDescent="0.25">
      <c r="A22" s="725"/>
      <c r="B22" s="725"/>
      <c r="C22" s="723"/>
      <c r="D22" s="271" t="s">
        <v>461</v>
      </c>
      <c r="E22" s="751"/>
      <c r="F22" s="265"/>
      <c r="G22" s="736"/>
      <c r="H22" s="266"/>
      <c r="I22" s="725"/>
      <c r="J22" s="736"/>
      <c r="K22" s="742"/>
    </row>
    <row r="23" spans="1:11" ht="144.75" hidden="1" customHeight="1" x14ac:dyDescent="0.25">
      <c r="A23" s="725" t="s">
        <v>462</v>
      </c>
      <c r="B23" s="737" t="s">
        <v>439</v>
      </c>
      <c r="C23" s="725" t="s">
        <v>463</v>
      </c>
      <c r="D23" s="749" t="s">
        <v>464</v>
      </c>
      <c r="E23" s="749"/>
      <c r="F23" s="268"/>
      <c r="G23" s="736"/>
      <c r="H23" s="268"/>
      <c r="I23" s="736"/>
      <c r="J23" s="730"/>
      <c r="K23" s="737"/>
    </row>
    <row r="24" spans="1:11" ht="47.25" hidden="1" customHeight="1" x14ac:dyDescent="0.25">
      <c r="A24" s="725"/>
      <c r="B24" s="758"/>
      <c r="C24" s="737"/>
      <c r="D24" s="743" t="s">
        <v>442</v>
      </c>
      <c r="E24" s="743"/>
      <c r="F24" s="273"/>
      <c r="G24" s="759"/>
      <c r="H24" s="273"/>
      <c r="I24" s="759"/>
      <c r="J24" s="755"/>
      <c r="K24" s="732"/>
    </row>
    <row r="25" spans="1:11" ht="47.25" hidden="1" customHeight="1" x14ac:dyDescent="0.25">
      <c r="A25" s="741" t="s">
        <v>376</v>
      </c>
      <c r="B25" s="737" t="s">
        <v>465</v>
      </c>
      <c r="C25" s="723" t="s">
        <v>466</v>
      </c>
      <c r="D25" s="267" t="s">
        <v>446</v>
      </c>
      <c r="E25" s="734" t="s">
        <v>434</v>
      </c>
      <c r="F25" s="270"/>
      <c r="G25" s="736"/>
      <c r="H25" s="268"/>
      <c r="I25" s="725"/>
      <c r="J25" s="736"/>
      <c r="K25" s="725"/>
    </row>
    <row r="26" spans="1:11" ht="47.25" hidden="1" customHeight="1" x14ac:dyDescent="0.25">
      <c r="A26" s="756"/>
      <c r="B26" s="731"/>
      <c r="C26" s="723"/>
      <c r="D26" s="271" t="s">
        <v>447</v>
      </c>
      <c r="E26" s="745"/>
      <c r="F26" s="265"/>
      <c r="G26" s="736"/>
      <c r="H26" s="266"/>
      <c r="I26" s="725"/>
      <c r="J26" s="736"/>
      <c r="K26" s="765"/>
    </row>
    <row r="27" spans="1:11" ht="47.25" hidden="1" customHeight="1" x14ac:dyDescent="0.25">
      <c r="A27" s="756"/>
      <c r="B27" s="731"/>
      <c r="C27" s="725" t="s">
        <v>467</v>
      </c>
      <c r="D27" s="749" t="s">
        <v>468</v>
      </c>
      <c r="E27" s="766"/>
      <c r="F27" s="268"/>
      <c r="G27" s="736"/>
      <c r="H27" s="268"/>
      <c r="I27" s="767"/>
      <c r="J27" s="736"/>
      <c r="K27" s="725"/>
    </row>
    <row r="28" spans="1:11" ht="47.25" hidden="1" customHeight="1" x14ac:dyDescent="0.25">
      <c r="A28" s="757"/>
      <c r="B28" s="732"/>
      <c r="C28" s="725"/>
      <c r="D28" s="768" t="s">
        <v>469</v>
      </c>
      <c r="E28" s="769"/>
      <c r="F28" s="266"/>
      <c r="G28" s="736"/>
      <c r="H28" s="266"/>
      <c r="I28" s="767"/>
      <c r="J28" s="736"/>
      <c r="K28" s="765"/>
    </row>
    <row r="29" spans="1:11" ht="47.25" customHeight="1" x14ac:dyDescent="0.25">
      <c r="A29" s="274" t="s">
        <v>384</v>
      </c>
      <c r="B29" s="760" t="s">
        <v>470</v>
      </c>
      <c r="C29" s="761"/>
      <c r="D29" s="761"/>
      <c r="E29" s="761"/>
      <c r="F29" s="761"/>
      <c r="G29" s="761"/>
      <c r="H29" s="761"/>
      <c r="I29" s="761"/>
      <c r="J29" s="761"/>
      <c r="K29" s="762"/>
    </row>
    <row r="30" spans="1:11" ht="47.25" customHeight="1" x14ac:dyDescent="0.25">
      <c r="A30" s="741" t="s">
        <v>471</v>
      </c>
      <c r="B30" s="737" t="s">
        <v>472</v>
      </c>
      <c r="C30" s="737" t="s">
        <v>473</v>
      </c>
      <c r="D30" s="749" t="s">
        <v>474</v>
      </c>
      <c r="E30" s="763"/>
      <c r="F30" s="263">
        <v>1</v>
      </c>
      <c r="G30" s="288">
        <v>0</v>
      </c>
      <c r="H30" s="263">
        <v>1</v>
      </c>
      <c r="I30" s="291">
        <v>0</v>
      </c>
      <c r="J30" s="294">
        <f>I30-G30</f>
        <v>0</v>
      </c>
      <c r="K30" s="737">
        <v>0.3</v>
      </c>
    </row>
    <row r="31" spans="1:11" ht="47.25" customHeight="1" x14ac:dyDescent="0.25">
      <c r="A31" s="756"/>
      <c r="B31" s="758"/>
      <c r="C31" s="758"/>
      <c r="D31" s="743" t="s">
        <v>475</v>
      </c>
      <c r="E31" s="764"/>
      <c r="F31" s="273">
        <v>10</v>
      </c>
      <c r="G31" s="289"/>
      <c r="H31" s="273">
        <v>10</v>
      </c>
      <c r="I31" s="292"/>
      <c r="J31" s="295"/>
      <c r="K31" s="731"/>
    </row>
    <row r="32" spans="1:11" ht="33.75" customHeight="1" x14ac:dyDescent="0.25">
      <c r="A32" s="725" t="s">
        <v>476</v>
      </c>
      <c r="B32" s="725" t="s">
        <v>477</v>
      </c>
      <c r="C32" s="723" t="s">
        <v>478</v>
      </c>
      <c r="D32" s="267" t="s">
        <v>479</v>
      </c>
      <c r="E32" s="734" t="s">
        <v>434</v>
      </c>
      <c r="F32" s="270">
        <v>10</v>
      </c>
      <c r="G32" s="290">
        <v>0</v>
      </c>
      <c r="H32" s="268">
        <v>10</v>
      </c>
      <c r="I32" s="293">
        <v>100</v>
      </c>
      <c r="J32" s="296">
        <f>I32-G32</f>
        <v>100</v>
      </c>
      <c r="K32" s="725">
        <v>0.3</v>
      </c>
    </row>
    <row r="33" spans="1:11" ht="37.5" customHeight="1" x14ac:dyDescent="0.25">
      <c r="A33" s="725"/>
      <c r="B33" s="725"/>
      <c r="C33" s="723"/>
      <c r="D33" s="271" t="s">
        <v>480</v>
      </c>
      <c r="E33" s="745"/>
      <c r="F33" s="265">
        <v>100</v>
      </c>
      <c r="G33" s="290"/>
      <c r="H33" s="266">
        <v>100</v>
      </c>
      <c r="I33" s="293"/>
      <c r="J33" s="296"/>
      <c r="K33" s="725"/>
    </row>
    <row r="34" spans="1:11" ht="59.25" customHeight="1" x14ac:dyDescent="0.25">
      <c r="A34" s="726"/>
      <c r="B34" s="726"/>
      <c r="C34" s="770" t="s">
        <v>481</v>
      </c>
      <c r="D34" s="267" t="s">
        <v>482</v>
      </c>
      <c r="E34" s="734" t="s">
        <v>434</v>
      </c>
      <c r="F34" s="270">
        <v>10</v>
      </c>
      <c r="G34" s="290">
        <v>0</v>
      </c>
      <c r="H34" s="268">
        <v>10</v>
      </c>
      <c r="I34" s="293">
        <v>0.57099999999999995</v>
      </c>
      <c r="J34" s="296">
        <f>I34-G34</f>
        <v>0.57099999999999995</v>
      </c>
      <c r="K34" s="725">
        <v>0.4</v>
      </c>
    </row>
    <row r="35" spans="1:11" ht="48.75" customHeight="1" x14ac:dyDescent="0.25">
      <c r="A35" s="726"/>
      <c r="B35" s="771"/>
      <c r="C35" s="770"/>
      <c r="D35" s="275" t="s">
        <v>483</v>
      </c>
      <c r="E35" s="745"/>
      <c r="F35" s="265">
        <v>100</v>
      </c>
      <c r="G35" s="290"/>
      <c r="H35" s="265">
        <v>100</v>
      </c>
      <c r="I35" s="293"/>
      <c r="J35" s="296"/>
      <c r="K35" s="725"/>
    </row>
    <row r="36" spans="1:11" ht="48.75" hidden="1" customHeight="1" x14ac:dyDescent="0.25">
      <c r="A36" s="725" t="s">
        <v>484</v>
      </c>
      <c r="B36" s="725" t="s">
        <v>485</v>
      </c>
      <c r="C36" s="725" t="s">
        <v>486</v>
      </c>
      <c r="D36" s="747" t="s">
        <v>449</v>
      </c>
      <c r="E36" s="747"/>
      <c r="F36" s="276">
        <v>1</v>
      </c>
      <c r="G36" s="736">
        <f>F36/F37*100</f>
        <v>1</v>
      </c>
      <c r="H36" s="276">
        <v>1</v>
      </c>
      <c r="I36" s="725">
        <f>H36/H37*100</f>
        <v>1</v>
      </c>
      <c r="J36" s="736">
        <f>I36-G36</f>
        <v>0</v>
      </c>
      <c r="K36" s="737">
        <v>0</v>
      </c>
    </row>
    <row r="37" spans="1:11" ht="48.75" hidden="1" customHeight="1" x14ac:dyDescent="0.25">
      <c r="A37" s="765"/>
      <c r="B37" s="725"/>
      <c r="C37" s="725"/>
      <c r="D37" s="748" t="s">
        <v>487</v>
      </c>
      <c r="E37" s="748"/>
      <c r="F37" s="265">
        <v>100</v>
      </c>
      <c r="G37" s="736"/>
      <c r="H37" s="265">
        <v>100</v>
      </c>
      <c r="I37" s="725"/>
      <c r="J37" s="736"/>
      <c r="K37" s="776"/>
    </row>
    <row r="38" spans="1:11" ht="48.75" hidden="1" customHeight="1" x14ac:dyDescent="0.25">
      <c r="A38" s="765"/>
      <c r="B38" s="725"/>
      <c r="C38" s="725" t="s">
        <v>488</v>
      </c>
      <c r="D38" s="747" t="s">
        <v>449</v>
      </c>
      <c r="E38" s="747"/>
      <c r="F38" s="276">
        <v>3</v>
      </c>
      <c r="G38" s="736">
        <f>F38/F39*100</f>
        <v>3</v>
      </c>
      <c r="H38" s="276">
        <v>3</v>
      </c>
      <c r="I38" s="767">
        <f>H38/H39*100</f>
        <v>3</v>
      </c>
      <c r="J38" s="736">
        <f>I38-G38</f>
        <v>0</v>
      </c>
      <c r="K38" s="737">
        <v>0</v>
      </c>
    </row>
    <row r="39" spans="1:11" ht="48.75" hidden="1" customHeight="1" x14ac:dyDescent="0.25">
      <c r="A39" s="765"/>
      <c r="B39" s="725"/>
      <c r="C39" s="725"/>
      <c r="D39" s="748" t="s">
        <v>489</v>
      </c>
      <c r="E39" s="748"/>
      <c r="F39" s="265">
        <v>100</v>
      </c>
      <c r="G39" s="736"/>
      <c r="H39" s="265">
        <v>100</v>
      </c>
      <c r="I39" s="767"/>
      <c r="J39" s="736"/>
      <c r="K39" s="776"/>
    </row>
    <row r="40" spans="1:11" ht="26.25" hidden="1" customHeight="1" x14ac:dyDescent="0.25">
      <c r="C40" s="277"/>
      <c r="G40" s="256"/>
    </row>
    <row r="41" spans="1:11" ht="26.25" hidden="1" customHeight="1" x14ac:dyDescent="0.3">
      <c r="B41" s="773" t="s">
        <v>490</v>
      </c>
      <c r="C41" s="774"/>
      <c r="D41" s="774"/>
      <c r="E41" s="774"/>
      <c r="F41" s="774"/>
      <c r="G41" s="278"/>
      <c r="H41" s="279"/>
      <c r="I41" s="279"/>
      <c r="J41" s="280" t="e">
        <f>G6/I6*K6+G8/I8*K8+G10*I10*K10+G12/I12*K12+G14/I14*K14+G16/I16*K16</f>
        <v>#DIV/0!</v>
      </c>
      <c r="K41" s="279"/>
    </row>
    <row r="42" spans="1:11" ht="26.25" hidden="1" customHeight="1" x14ac:dyDescent="0.3">
      <c r="B42" s="773" t="s">
        <v>491</v>
      </c>
      <c r="C42" s="774"/>
      <c r="D42" s="774"/>
      <c r="E42" s="774"/>
      <c r="F42" s="774"/>
      <c r="G42" s="278"/>
      <c r="H42" s="279"/>
      <c r="I42" s="279"/>
      <c r="J42" s="280" t="e">
        <f>G19/I19*K19+G21/I21*K21+G23/I23*K23+G25/I25*K25+G27/I27*K27</f>
        <v>#DIV/0!</v>
      </c>
      <c r="K42" s="279"/>
    </row>
    <row r="43" spans="1:11" ht="30.75" hidden="1" customHeight="1" x14ac:dyDescent="0.3">
      <c r="B43" s="773" t="s">
        <v>492</v>
      </c>
      <c r="C43" s="774"/>
      <c r="D43" s="774"/>
      <c r="E43" s="774"/>
      <c r="F43" s="774"/>
      <c r="G43" s="281"/>
      <c r="H43" s="278"/>
      <c r="I43" s="282"/>
      <c r="J43" s="280" t="e">
        <f>G30/I30*K30+G32/I32*K32+G34/I34*K34+G36/I36*K36+G38/I38*K38</f>
        <v>#DIV/0!</v>
      </c>
      <c r="K43" s="279"/>
    </row>
    <row r="44" spans="1:11" ht="18.75" hidden="1" x14ac:dyDescent="0.3">
      <c r="B44" s="279"/>
      <c r="C44" s="279"/>
      <c r="D44" s="279"/>
      <c r="E44" s="279"/>
      <c r="F44" s="279"/>
      <c r="G44" s="279"/>
      <c r="H44" s="279"/>
      <c r="I44" s="279"/>
      <c r="J44" s="279"/>
      <c r="K44" s="279"/>
    </row>
    <row r="45" spans="1:11" ht="40.5" hidden="1" customHeight="1" x14ac:dyDescent="0.3">
      <c r="B45" s="773" t="s">
        <v>493</v>
      </c>
      <c r="C45" s="775"/>
      <c r="D45" s="775"/>
      <c r="E45" s="775"/>
      <c r="F45" s="775"/>
      <c r="G45" s="279"/>
      <c r="H45" s="279"/>
      <c r="I45" s="279"/>
      <c r="J45" s="280" t="e">
        <f>G6/I6*K6+G8/I8*K8+G10/I10*K10</f>
        <v>#DIV/0!</v>
      </c>
      <c r="K45" s="279"/>
    </row>
    <row r="46" spans="1:11" ht="56.25" hidden="1" customHeight="1" x14ac:dyDescent="0.3">
      <c r="B46" s="773" t="s">
        <v>494</v>
      </c>
      <c r="C46" s="775"/>
      <c r="D46" s="775"/>
      <c r="E46" s="775"/>
      <c r="F46" s="775"/>
      <c r="G46" s="279"/>
      <c r="H46" s="279"/>
      <c r="I46" s="279"/>
      <c r="J46" s="280" t="e">
        <f>G19/I19*K19+G21/I21*K21+G23/I23*K23</f>
        <v>#DIV/0!</v>
      </c>
      <c r="K46" s="279"/>
    </row>
    <row r="47" spans="1:11" ht="56.25" customHeight="1" x14ac:dyDescent="0.3">
      <c r="B47" s="773" t="s">
        <v>495</v>
      </c>
      <c r="C47" s="775"/>
      <c r="D47" s="775"/>
      <c r="E47" s="775"/>
      <c r="F47" s="775"/>
      <c r="G47" s="279"/>
      <c r="H47" s="279"/>
      <c r="I47" s="279"/>
      <c r="J47" s="280" t="e">
        <f>G30/I30*K30+G32/I32*K32+G34/I34*K34</f>
        <v>#DIV/0!</v>
      </c>
      <c r="K47" s="279"/>
    </row>
    <row r="48" spans="1:11" ht="18.75" hidden="1" x14ac:dyDescent="0.3">
      <c r="B48" s="279"/>
      <c r="C48" s="279"/>
      <c r="D48" s="279"/>
      <c r="E48" s="279"/>
      <c r="F48" s="279"/>
      <c r="G48" s="279"/>
      <c r="H48" s="279"/>
      <c r="I48" s="283" t="s">
        <v>46</v>
      </c>
      <c r="J48" s="284" t="e">
        <f>(1-J47)*100</f>
        <v>#DIV/0!</v>
      </c>
      <c r="K48" s="279"/>
    </row>
    <row r="49" spans="2:4" hidden="1" x14ac:dyDescent="0.25"/>
    <row r="50" spans="2:4" hidden="1" x14ac:dyDescent="0.25"/>
    <row r="51" spans="2:4" hidden="1" x14ac:dyDescent="0.25">
      <c r="B51" s="255" t="s">
        <v>496</v>
      </c>
      <c r="D51" s="255" t="s">
        <v>497</v>
      </c>
    </row>
    <row r="52" spans="2:4" hidden="1" x14ac:dyDescent="0.25">
      <c r="D52" s="256" t="s">
        <v>498</v>
      </c>
    </row>
    <row r="53" spans="2:4" hidden="1" x14ac:dyDescent="0.25"/>
    <row r="54" spans="2:4" hidden="1" x14ac:dyDescent="0.25"/>
    <row r="55" spans="2:4" hidden="1" x14ac:dyDescent="0.25"/>
    <row r="56" spans="2:4" hidden="1" x14ac:dyDescent="0.25"/>
    <row r="57" spans="2:4" hidden="1" x14ac:dyDescent="0.25"/>
    <row r="58" spans="2:4" hidden="1" x14ac:dyDescent="0.25"/>
    <row r="59" spans="2:4" hidden="1" x14ac:dyDescent="0.25"/>
    <row r="60" spans="2:4" hidden="1" x14ac:dyDescent="0.25"/>
    <row r="61" spans="2:4" hidden="1" x14ac:dyDescent="0.25"/>
    <row r="62" spans="2:4" hidden="1" x14ac:dyDescent="0.25"/>
    <row r="63" spans="2:4" hidden="1" x14ac:dyDescent="0.25"/>
    <row r="64" spans="2:4" hidden="1" x14ac:dyDescent="0.25"/>
    <row r="65" spans="2:5" hidden="1" x14ac:dyDescent="0.25"/>
    <row r="66" spans="2:5" hidden="1" x14ac:dyDescent="0.25"/>
    <row r="67" spans="2:5" hidden="1" x14ac:dyDescent="0.25"/>
    <row r="68" spans="2:5" hidden="1" x14ac:dyDescent="0.25"/>
    <row r="69" spans="2:5" hidden="1" x14ac:dyDescent="0.25"/>
    <row r="70" spans="2:5" hidden="1" x14ac:dyDescent="0.25"/>
    <row r="71" spans="2:5" hidden="1" x14ac:dyDescent="0.25"/>
    <row r="72" spans="2:5" hidden="1" x14ac:dyDescent="0.25"/>
    <row r="73" spans="2:5" hidden="1" x14ac:dyDescent="0.25"/>
    <row r="75" spans="2:5" x14ac:dyDescent="0.25">
      <c r="B75" s="772" t="s">
        <v>499</v>
      </c>
      <c r="C75" s="285" t="s">
        <v>500</v>
      </c>
      <c r="D75" s="286" t="e">
        <f>G34/I34*K34+G30/I30*K30+G32/I32*K32</f>
        <v>#DIV/0!</v>
      </c>
      <c r="E75" s="285"/>
    </row>
    <row r="76" spans="2:5" hidden="1" x14ac:dyDescent="0.25">
      <c r="B76" s="772"/>
      <c r="C76" s="285"/>
      <c r="D76" s="286"/>
      <c r="E76" s="285"/>
    </row>
    <row r="77" spans="2:5" hidden="1" x14ac:dyDescent="0.25">
      <c r="B77" s="772"/>
      <c r="C77" s="285"/>
      <c r="D77" s="286"/>
      <c r="E77" s="285"/>
    </row>
    <row r="78" spans="2:5" hidden="1" x14ac:dyDescent="0.25">
      <c r="B78" s="772"/>
      <c r="C78" s="285"/>
      <c r="D78" s="286"/>
      <c r="E78" s="285"/>
    </row>
    <row r="79" spans="2:5" x14ac:dyDescent="0.25">
      <c r="B79" s="772"/>
      <c r="C79" s="285" t="s">
        <v>46</v>
      </c>
      <c r="D79" s="286">
        <f>(1-J71)*100</f>
        <v>100</v>
      </c>
      <c r="E79" s="285"/>
    </row>
    <row r="80" spans="2:5" x14ac:dyDescent="0.25">
      <c r="B80" s="285"/>
      <c r="C80" s="285"/>
      <c r="D80" s="286"/>
      <c r="E80" s="285"/>
    </row>
    <row r="81" spans="2:5" x14ac:dyDescent="0.25">
      <c r="B81" s="287" t="s">
        <v>501</v>
      </c>
      <c r="C81" s="285" t="str">
        <f>C75</f>
        <v>Агрегированный показатель качества</v>
      </c>
      <c r="D81" s="286" t="e">
        <f>1-D82/100</f>
        <v>#DIV/0!</v>
      </c>
      <c r="E81" s="285"/>
    </row>
    <row r="82" spans="2:5" x14ac:dyDescent="0.25">
      <c r="B82" s="285"/>
      <c r="C82" s="285" t="str">
        <f>C79</f>
        <v>%</v>
      </c>
      <c r="D82" s="286" t="e">
        <f>(K30-(G30/I30*K30))*100</f>
        <v>#DIV/0!</v>
      </c>
      <c r="E82" s="285"/>
    </row>
    <row r="83" spans="2:5" x14ac:dyDescent="0.25">
      <c r="B83" s="285"/>
      <c r="C83" s="285"/>
      <c r="D83" s="286"/>
      <c r="E83" s="285"/>
    </row>
    <row r="84" spans="2:5" x14ac:dyDescent="0.25">
      <c r="B84" s="285" t="s">
        <v>502</v>
      </c>
      <c r="C84" s="285" t="str">
        <f>C81</f>
        <v>Агрегированный показатель качества</v>
      </c>
      <c r="D84" s="286">
        <f>1-D85/100</f>
        <v>0.7</v>
      </c>
      <c r="E84" s="285"/>
    </row>
    <row r="85" spans="2:5" x14ac:dyDescent="0.25">
      <c r="B85" s="285"/>
      <c r="C85" s="285" t="str">
        <f>C82</f>
        <v>%</v>
      </c>
      <c r="D85" s="286">
        <f>(K32-(G32/I32*K32))*100</f>
        <v>30</v>
      </c>
      <c r="E85" s="285"/>
    </row>
    <row r="86" spans="2:5" x14ac:dyDescent="0.25">
      <c r="B86" s="285"/>
      <c r="C86" s="285"/>
      <c r="D86" s="286"/>
      <c r="E86" s="285"/>
    </row>
    <row r="87" spans="2:5" x14ac:dyDescent="0.25">
      <c r="B87" s="285" t="s">
        <v>503</v>
      </c>
      <c r="C87" s="285" t="str">
        <f>C84</f>
        <v>Агрегированный показатель качества</v>
      </c>
      <c r="D87" s="286">
        <f>1-D88/100</f>
        <v>0.6</v>
      </c>
      <c r="E87" s="285"/>
    </row>
    <row r="88" spans="2:5" x14ac:dyDescent="0.25">
      <c r="B88" s="285"/>
      <c r="C88" s="285" t="str">
        <f>C85</f>
        <v>%</v>
      </c>
      <c r="D88" s="286">
        <f>(K34-(G34/I34*K34))*100</f>
        <v>40</v>
      </c>
      <c r="E88" s="285"/>
    </row>
    <row r="89" spans="2:5" x14ac:dyDescent="0.25">
      <c r="B89" s="285"/>
      <c r="C89" s="285"/>
      <c r="D89" s="285"/>
      <c r="E89" s="285" t="s">
        <v>504</v>
      </c>
    </row>
    <row r="90" spans="2:5" x14ac:dyDescent="0.25">
      <c r="B90" s="285" t="s">
        <v>505</v>
      </c>
      <c r="C90" s="285" t="str">
        <f>C87</f>
        <v>Агрегированный показатель качества</v>
      </c>
      <c r="D90" s="286" t="e">
        <f>1-D91/100</f>
        <v>#DIV/0!</v>
      </c>
      <c r="E90" s="285"/>
    </row>
    <row r="91" spans="2:5" x14ac:dyDescent="0.25">
      <c r="B91" s="285"/>
      <c r="C91" s="285" t="str">
        <f>C88</f>
        <v>%</v>
      </c>
      <c r="D91" s="286" t="e">
        <f>(K30+K32-(G30/I30*K30+G32/I32*K32))*100</f>
        <v>#DIV/0!</v>
      </c>
      <c r="E91" s="285" t="e">
        <f>D85+D82</f>
        <v>#DIV/0!</v>
      </c>
    </row>
    <row r="92" spans="2:5" x14ac:dyDescent="0.25">
      <c r="B92" s="285"/>
      <c r="C92" s="285"/>
      <c r="D92" s="285"/>
      <c r="E92" s="285"/>
    </row>
    <row r="93" spans="2:5" x14ac:dyDescent="0.25">
      <c r="B93" s="285" t="s">
        <v>506</v>
      </c>
      <c r="C93" s="285" t="str">
        <f>C90</f>
        <v>Агрегированный показатель качества</v>
      </c>
      <c r="D93" s="286" t="e">
        <f>1-D94/100</f>
        <v>#DIV/0!</v>
      </c>
      <c r="E93" s="285"/>
    </row>
    <row r="94" spans="2:5" x14ac:dyDescent="0.25">
      <c r="B94" s="285"/>
      <c r="C94" s="285" t="str">
        <f>C91</f>
        <v>%</v>
      </c>
      <c r="D94" s="286" t="e">
        <f>(K30+K34-(G30/I30*K30+G34/I34*K34))*100</f>
        <v>#DIV/0!</v>
      </c>
      <c r="E94" s="285" t="e">
        <f>D82+D88</f>
        <v>#DIV/0!</v>
      </c>
    </row>
    <row r="95" spans="2:5" x14ac:dyDescent="0.25">
      <c r="B95" s="285"/>
      <c r="C95" s="285"/>
      <c r="D95" s="285"/>
      <c r="E95" s="285"/>
    </row>
    <row r="96" spans="2:5" x14ac:dyDescent="0.25">
      <c r="B96" s="285" t="s">
        <v>507</v>
      </c>
      <c r="C96" s="285" t="str">
        <f>C93</f>
        <v>Агрегированный показатель качества</v>
      </c>
      <c r="D96" s="286">
        <f>1-D97/100</f>
        <v>0.30000000000000004</v>
      </c>
      <c r="E96" s="285"/>
    </row>
    <row r="97" spans="2:5" x14ac:dyDescent="0.25">
      <c r="B97" s="285"/>
      <c r="C97" s="285" t="str">
        <f>C94</f>
        <v>%</v>
      </c>
      <c r="D97" s="286">
        <f>(K34+K32-(G32/I32*K32+G34/I34*K34))*100</f>
        <v>70</v>
      </c>
      <c r="E97" s="285">
        <f>D85+D88</f>
        <v>70</v>
      </c>
    </row>
  </sheetData>
  <mergeCells count="129">
    <mergeCell ref="B75:B79"/>
    <mergeCell ref="B41:F41"/>
    <mergeCell ref="B42:F42"/>
    <mergeCell ref="B43:F43"/>
    <mergeCell ref="B45:F45"/>
    <mergeCell ref="B46:F46"/>
    <mergeCell ref="B47:F47"/>
    <mergeCell ref="J36:J37"/>
    <mergeCell ref="K36:K37"/>
    <mergeCell ref="D37:E37"/>
    <mergeCell ref="C38:C39"/>
    <mergeCell ref="D38:E38"/>
    <mergeCell ref="G38:G39"/>
    <mergeCell ref="I38:I39"/>
    <mergeCell ref="J38:J39"/>
    <mergeCell ref="K38:K39"/>
    <mergeCell ref="D39:E39"/>
    <mergeCell ref="A36:A39"/>
    <mergeCell ref="B36:B39"/>
    <mergeCell ref="C36:C37"/>
    <mergeCell ref="D36:E36"/>
    <mergeCell ref="G36:G37"/>
    <mergeCell ref="I36:I37"/>
    <mergeCell ref="K32:K33"/>
    <mergeCell ref="C34:C35"/>
    <mergeCell ref="E34:E35"/>
    <mergeCell ref="K34:K35"/>
    <mergeCell ref="A32:A35"/>
    <mergeCell ref="B32:B35"/>
    <mergeCell ref="C32:C33"/>
    <mergeCell ref="E32:E33"/>
    <mergeCell ref="B29:K29"/>
    <mergeCell ref="A30:A31"/>
    <mergeCell ref="B30:B31"/>
    <mergeCell ref="C30:C31"/>
    <mergeCell ref="D30:E30"/>
    <mergeCell ref="K30:K31"/>
    <mergeCell ref="D31:E31"/>
    <mergeCell ref="K25:K26"/>
    <mergeCell ref="C27:C28"/>
    <mergeCell ref="D27:E27"/>
    <mergeCell ref="G27:G28"/>
    <mergeCell ref="I27:I28"/>
    <mergeCell ref="J27:J28"/>
    <mergeCell ref="K27:K28"/>
    <mergeCell ref="D28:E28"/>
    <mergeCell ref="J23:J24"/>
    <mergeCell ref="K23:K24"/>
    <mergeCell ref="D24:E24"/>
    <mergeCell ref="A25:A28"/>
    <mergeCell ref="B25:B28"/>
    <mergeCell ref="C25:C26"/>
    <mergeCell ref="E25:E26"/>
    <mergeCell ref="G25:G26"/>
    <mergeCell ref="I25:I26"/>
    <mergeCell ref="J25:J26"/>
    <mergeCell ref="A23:A24"/>
    <mergeCell ref="B23:B24"/>
    <mergeCell ref="C23:C24"/>
    <mergeCell ref="D23:E23"/>
    <mergeCell ref="G23:G24"/>
    <mergeCell ref="I23:I24"/>
    <mergeCell ref="A19:A22"/>
    <mergeCell ref="B19:B22"/>
    <mergeCell ref="C19:C20"/>
    <mergeCell ref="D19:E19"/>
    <mergeCell ref="G19:G20"/>
    <mergeCell ref="I19:I20"/>
    <mergeCell ref="J19:J20"/>
    <mergeCell ref="K19:K20"/>
    <mergeCell ref="D20:E20"/>
    <mergeCell ref="C14:C15"/>
    <mergeCell ref="D14:E14"/>
    <mergeCell ref="G14:G15"/>
    <mergeCell ref="I14:I15"/>
    <mergeCell ref="J14:J15"/>
    <mergeCell ref="K14:K15"/>
    <mergeCell ref="D15:E15"/>
    <mergeCell ref="C21:C22"/>
    <mergeCell ref="E21:E22"/>
    <mergeCell ref="G21:G22"/>
    <mergeCell ref="I21:I22"/>
    <mergeCell ref="J21:J22"/>
    <mergeCell ref="K21:K22"/>
    <mergeCell ref="B18:K18"/>
    <mergeCell ref="J10:J11"/>
    <mergeCell ref="K10:K11"/>
    <mergeCell ref="D11:E11"/>
    <mergeCell ref="A12:A17"/>
    <mergeCell ref="B12:B17"/>
    <mergeCell ref="C12:C13"/>
    <mergeCell ref="E12:E13"/>
    <mergeCell ref="G12:G13"/>
    <mergeCell ref="I12:I13"/>
    <mergeCell ref="J12:J13"/>
    <mergeCell ref="A10:A11"/>
    <mergeCell ref="B10:B11"/>
    <mergeCell ref="C10:C11"/>
    <mergeCell ref="D10:E10"/>
    <mergeCell ref="G10:G11"/>
    <mergeCell ref="I10:I11"/>
    <mergeCell ref="C16:C17"/>
    <mergeCell ref="D16:E16"/>
    <mergeCell ref="G16:G17"/>
    <mergeCell ref="I16:I17"/>
    <mergeCell ref="J16:J17"/>
    <mergeCell ref="K16:K17"/>
    <mergeCell ref="D17:E17"/>
    <mergeCell ref="K12:K13"/>
    <mergeCell ref="A2:K2"/>
    <mergeCell ref="B4:C4"/>
    <mergeCell ref="D4:E4"/>
    <mergeCell ref="F4:G4"/>
    <mergeCell ref="H4:I4"/>
    <mergeCell ref="B5:K5"/>
    <mergeCell ref="J6:J7"/>
    <mergeCell ref="K6:K7"/>
    <mergeCell ref="C8:C9"/>
    <mergeCell ref="E8:E9"/>
    <mergeCell ref="G8:G9"/>
    <mergeCell ref="I8:I9"/>
    <mergeCell ref="J8:J9"/>
    <mergeCell ref="K8:K9"/>
    <mergeCell ref="A6:A9"/>
    <mergeCell ref="B6:B9"/>
    <mergeCell ref="C6:C7"/>
    <mergeCell ref="E6:E7"/>
    <mergeCell ref="G6:G7"/>
    <mergeCell ref="I6:I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282D65-889E-44F1-91EC-2E96FC5C9388}">
  <dimension ref="B2:V173"/>
  <sheetViews>
    <sheetView topLeftCell="A13" workbookViewId="0">
      <selection activeCell="H170" sqref="H170:J173"/>
    </sheetView>
  </sheetViews>
  <sheetFormatPr defaultRowHeight="18" customHeight="1" outlineLevelRow="2" x14ac:dyDescent="0.25"/>
  <cols>
    <col min="1" max="2" width="9.140625" style="319"/>
    <col min="3" max="3" width="54.42578125" style="319" customWidth="1"/>
    <col min="4" max="4" width="13.28515625" style="319" customWidth="1"/>
    <col min="5" max="18" width="12.42578125" style="319" customWidth="1"/>
    <col min="19" max="19" width="12.85546875" style="319" customWidth="1"/>
    <col min="20" max="21" width="9.140625" style="319"/>
    <col min="22" max="22" width="10.7109375" style="319" customWidth="1"/>
    <col min="23" max="16384" width="9.140625" style="319"/>
  </cols>
  <sheetData>
    <row r="2" spans="2:22" ht="18" customHeight="1" thickBot="1" x14ac:dyDescent="0.3"/>
    <row r="3" spans="2:22" ht="18" customHeight="1" x14ac:dyDescent="0.25">
      <c r="B3" s="779" t="s">
        <v>1</v>
      </c>
      <c r="C3" s="782" t="s">
        <v>2</v>
      </c>
      <c r="D3" s="785" t="s">
        <v>3</v>
      </c>
      <c r="E3" s="795">
        <v>2019</v>
      </c>
      <c r="F3" s="796"/>
      <c r="G3" s="797"/>
      <c r="H3" s="795">
        <v>2020</v>
      </c>
      <c r="I3" s="796"/>
      <c r="J3" s="797"/>
      <c r="K3" s="795">
        <v>2021</v>
      </c>
      <c r="L3" s="796"/>
      <c r="M3" s="797"/>
      <c r="N3" s="795">
        <v>2022</v>
      </c>
      <c r="O3" s="796"/>
      <c r="P3" s="797"/>
      <c r="Q3" s="795">
        <v>2023</v>
      </c>
      <c r="R3" s="796"/>
      <c r="S3" s="797"/>
    </row>
    <row r="4" spans="2:22" ht="18" customHeight="1" x14ac:dyDescent="0.25">
      <c r="B4" s="780"/>
      <c r="C4" s="783"/>
      <c r="D4" s="786"/>
      <c r="E4" s="789" t="s">
        <v>508</v>
      </c>
      <c r="F4" s="791" t="s">
        <v>509</v>
      </c>
      <c r="G4" s="793" t="s">
        <v>510</v>
      </c>
      <c r="H4" s="789" t="s">
        <v>508</v>
      </c>
      <c r="I4" s="791" t="s">
        <v>509</v>
      </c>
      <c r="J4" s="793" t="s">
        <v>510</v>
      </c>
      <c r="K4" s="789" t="s">
        <v>508</v>
      </c>
      <c r="L4" s="791" t="s">
        <v>509</v>
      </c>
      <c r="M4" s="793" t="s">
        <v>510</v>
      </c>
      <c r="N4" s="789" t="s">
        <v>508</v>
      </c>
      <c r="O4" s="791" t="s">
        <v>509</v>
      </c>
      <c r="P4" s="793" t="s">
        <v>510</v>
      </c>
      <c r="Q4" s="789" t="s">
        <v>508</v>
      </c>
      <c r="R4" s="791" t="s">
        <v>509</v>
      </c>
      <c r="S4" s="793" t="s">
        <v>510</v>
      </c>
    </row>
    <row r="5" spans="2:22" ht="18" customHeight="1" thickBot="1" x14ac:dyDescent="0.3">
      <c r="B5" s="781"/>
      <c r="C5" s="784"/>
      <c r="D5" s="787"/>
      <c r="E5" s="790"/>
      <c r="F5" s="792"/>
      <c r="G5" s="794"/>
      <c r="H5" s="790"/>
      <c r="I5" s="792"/>
      <c r="J5" s="794"/>
      <c r="K5" s="790"/>
      <c r="L5" s="792"/>
      <c r="M5" s="794"/>
      <c r="N5" s="790"/>
      <c r="O5" s="792"/>
      <c r="P5" s="794"/>
      <c r="Q5" s="790"/>
      <c r="R5" s="792"/>
      <c r="S5" s="794"/>
    </row>
    <row r="6" spans="2:22" ht="18" customHeight="1" x14ac:dyDescent="0.25">
      <c r="B6" s="297">
        <v>1</v>
      </c>
      <c r="C6" s="298" t="s">
        <v>11</v>
      </c>
      <c r="D6" s="320"/>
      <c r="E6" s="342"/>
      <c r="F6" s="343"/>
      <c r="G6" s="344"/>
      <c r="H6" s="342"/>
      <c r="I6" s="343"/>
      <c r="J6" s="344"/>
      <c r="K6" s="342"/>
      <c r="L6" s="343"/>
      <c r="M6" s="344"/>
      <c r="N6" s="342"/>
      <c r="O6" s="343"/>
      <c r="P6" s="344"/>
      <c r="Q6" s="342"/>
      <c r="R6" s="343"/>
      <c r="S6" s="344"/>
    </row>
    <row r="7" spans="2:22" ht="18" customHeight="1" x14ac:dyDescent="0.25">
      <c r="B7" s="299" t="s">
        <v>12</v>
      </c>
      <c r="C7" s="300" t="s">
        <v>13</v>
      </c>
      <c r="D7" s="321" t="s">
        <v>14</v>
      </c>
      <c r="E7" s="341">
        <f>E8+E9+E10+E11</f>
        <v>0</v>
      </c>
      <c r="F7" s="340">
        <f t="shared" ref="F7:R7" si="0">F8+F9+F10+F11</f>
        <v>0</v>
      </c>
      <c r="G7" s="346">
        <f>E7-F7</f>
        <v>0</v>
      </c>
      <c r="H7" s="341">
        <f t="shared" si="0"/>
        <v>0</v>
      </c>
      <c r="I7" s="340">
        <f t="shared" si="0"/>
        <v>0</v>
      </c>
      <c r="J7" s="346">
        <f>H7-I7</f>
        <v>0</v>
      </c>
      <c r="K7" s="341">
        <f t="shared" si="0"/>
        <v>0</v>
      </c>
      <c r="L7" s="340">
        <f t="shared" si="0"/>
        <v>0</v>
      </c>
      <c r="M7" s="346">
        <f>K7-L7</f>
        <v>0</v>
      </c>
      <c r="N7" s="341">
        <v>20.7</v>
      </c>
      <c r="O7" s="340">
        <v>21.516976</v>
      </c>
      <c r="P7" s="346">
        <f>N7-O7</f>
        <v>-0.81697600000000037</v>
      </c>
      <c r="Q7" s="341">
        <f t="shared" si="0"/>
        <v>20.7</v>
      </c>
      <c r="R7" s="340">
        <f t="shared" si="0"/>
        <v>20.3389697</v>
      </c>
      <c r="S7" s="346">
        <f>Q7-R7</f>
        <v>0.36103029999999947</v>
      </c>
    </row>
    <row r="8" spans="2:22" ht="18" customHeight="1" x14ac:dyDescent="0.25">
      <c r="B8" s="301" t="s">
        <v>15</v>
      </c>
      <c r="C8" s="302" t="s">
        <v>16</v>
      </c>
      <c r="D8" s="322" t="s">
        <v>14</v>
      </c>
      <c r="E8" s="332"/>
      <c r="F8" s="330"/>
      <c r="G8" s="346">
        <f t="shared" ref="G8:G14" si="1">E8-F8</f>
        <v>0</v>
      </c>
      <c r="H8" s="332"/>
      <c r="I8" s="330"/>
      <c r="J8" s="346">
        <f t="shared" ref="J8:J71" si="2">H8-I8</f>
        <v>0</v>
      </c>
      <c r="K8" s="332"/>
      <c r="L8" s="330"/>
      <c r="M8" s="346">
        <f t="shared" ref="M8:M71" si="3">K8-L8</f>
        <v>0</v>
      </c>
      <c r="N8" s="332">
        <v>0</v>
      </c>
      <c r="O8" s="330">
        <v>0</v>
      </c>
      <c r="P8" s="346">
        <f t="shared" ref="P8:P71" si="4">N8-O8</f>
        <v>0</v>
      </c>
      <c r="Q8" s="352">
        <f>'Корректировка тарифа'!I17</f>
        <v>0</v>
      </c>
      <c r="R8" s="348">
        <f>'Корректировка тарифа'!K17</f>
        <v>0</v>
      </c>
      <c r="S8" s="346">
        <f t="shared" ref="S8:S71" si="5">Q8-R8</f>
        <v>0</v>
      </c>
    </row>
    <row r="9" spans="2:22" ht="18" customHeight="1" x14ac:dyDescent="0.25">
      <c r="B9" s="301" t="s">
        <v>17</v>
      </c>
      <c r="C9" s="303" t="s">
        <v>18</v>
      </c>
      <c r="D9" s="322" t="s">
        <v>14</v>
      </c>
      <c r="E9" s="332"/>
      <c r="F9" s="330"/>
      <c r="G9" s="346">
        <f t="shared" si="1"/>
        <v>0</v>
      </c>
      <c r="H9" s="332"/>
      <c r="I9" s="330"/>
      <c r="J9" s="346">
        <f t="shared" si="2"/>
        <v>0</v>
      </c>
      <c r="K9" s="332"/>
      <c r="L9" s="330"/>
      <c r="M9" s="346">
        <f t="shared" si="3"/>
        <v>0</v>
      </c>
      <c r="N9" s="332">
        <v>12.7</v>
      </c>
      <c r="O9" s="330">
        <v>2.3005999999999998</v>
      </c>
      <c r="P9" s="346">
        <f t="shared" si="4"/>
        <v>10.3994</v>
      </c>
      <c r="Q9" s="352">
        <f>'Корректировка тарифа'!I18</f>
        <v>2.4</v>
      </c>
      <c r="R9" s="348">
        <f>'Корректировка тарифа'!K18</f>
        <v>2.1628600000000002</v>
      </c>
      <c r="S9" s="346">
        <f t="shared" si="5"/>
        <v>0.23713999999999968</v>
      </c>
    </row>
    <row r="10" spans="2:22" ht="18" customHeight="1" x14ac:dyDescent="0.25">
      <c r="B10" s="301" t="s">
        <v>19</v>
      </c>
      <c r="C10" s="302" t="s">
        <v>20</v>
      </c>
      <c r="D10" s="322" t="s">
        <v>14</v>
      </c>
      <c r="E10" s="332"/>
      <c r="F10" s="330"/>
      <c r="G10" s="346">
        <f t="shared" si="1"/>
        <v>0</v>
      </c>
      <c r="H10" s="332"/>
      <c r="I10" s="330"/>
      <c r="J10" s="346">
        <f t="shared" si="2"/>
        <v>0</v>
      </c>
      <c r="K10" s="332"/>
      <c r="L10" s="330"/>
      <c r="M10" s="346">
        <f t="shared" si="3"/>
        <v>0</v>
      </c>
      <c r="N10" s="332">
        <v>0.1</v>
      </c>
      <c r="O10" s="330">
        <v>0.12847999999999998</v>
      </c>
      <c r="P10" s="346">
        <f t="shared" si="4"/>
        <v>-2.8479999999999978E-2</v>
      </c>
      <c r="Q10" s="352">
        <f>'Корректировка тарифа'!I19</f>
        <v>0.1</v>
      </c>
      <c r="R10" s="348">
        <f>'Корректировка тарифа'!K19</f>
        <v>0.20238</v>
      </c>
      <c r="S10" s="346">
        <f t="shared" si="5"/>
        <v>-0.10238</v>
      </c>
    </row>
    <row r="11" spans="2:22" ht="18" customHeight="1" x14ac:dyDescent="0.25">
      <c r="B11" s="301" t="s">
        <v>21</v>
      </c>
      <c r="C11" s="302" t="s">
        <v>22</v>
      </c>
      <c r="D11" s="322" t="s">
        <v>14</v>
      </c>
      <c r="E11" s="332"/>
      <c r="F11" s="330"/>
      <c r="G11" s="346">
        <f t="shared" si="1"/>
        <v>0</v>
      </c>
      <c r="H11" s="332"/>
      <c r="I11" s="330"/>
      <c r="J11" s="346">
        <f t="shared" si="2"/>
        <v>0</v>
      </c>
      <c r="K11" s="332"/>
      <c r="L11" s="330"/>
      <c r="M11" s="346">
        <f t="shared" si="3"/>
        <v>0</v>
      </c>
      <c r="N11" s="332">
        <v>18.2</v>
      </c>
      <c r="O11" s="330">
        <v>19.097895999999999</v>
      </c>
      <c r="P11" s="346">
        <f t="shared" si="4"/>
        <v>-0.89789599999999936</v>
      </c>
      <c r="Q11" s="352">
        <f>'Корректировка тарифа'!I20</f>
        <v>18.2</v>
      </c>
      <c r="R11" s="348">
        <f>'Корректировка тарифа'!K20</f>
        <v>17.9737297</v>
      </c>
      <c r="S11" s="346">
        <f t="shared" si="5"/>
        <v>0.22627029999999948</v>
      </c>
    </row>
    <row r="12" spans="2:22" ht="18" customHeight="1" x14ac:dyDescent="0.25">
      <c r="B12" s="299" t="s">
        <v>23</v>
      </c>
      <c r="C12" s="304" t="s">
        <v>24</v>
      </c>
      <c r="D12" s="321" t="s">
        <v>14</v>
      </c>
      <c r="E12" s="332"/>
      <c r="F12" s="330"/>
      <c r="G12" s="346">
        <f t="shared" si="1"/>
        <v>0</v>
      </c>
      <c r="H12" s="332"/>
      <c r="I12" s="330"/>
      <c r="J12" s="346">
        <f t="shared" si="2"/>
        <v>0</v>
      </c>
      <c r="K12" s="332"/>
      <c r="L12" s="330"/>
      <c r="M12" s="346">
        <f t="shared" si="3"/>
        <v>0</v>
      </c>
      <c r="N12" s="332">
        <v>12.7</v>
      </c>
      <c r="O12" s="330">
        <v>7.0495039999999998</v>
      </c>
      <c r="P12" s="346">
        <f t="shared" si="4"/>
        <v>5.6504959999999995</v>
      </c>
      <c r="Q12" s="352"/>
      <c r="R12" s="348"/>
      <c r="S12" s="346">
        <f t="shared" si="5"/>
        <v>0</v>
      </c>
    </row>
    <row r="13" spans="2:22" ht="18" customHeight="1" x14ac:dyDescent="0.25">
      <c r="B13" s="301" t="s">
        <v>25</v>
      </c>
      <c r="C13" s="302" t="s">
        <v>26</v>
      </c>
      <c r="D13" s="322" t="s">
        <v>14</v>
      </c>
      <c r="E13" s="332"/>
      <c r="F13" s="330"/>
      <c r="G13" s="346">
        <f t="shared" si="1"/>
        <v>0</v>
      </c>
      <c r="H13" s="332"/>
      <c r="I13" s="330"/>
      <c r="J13" s="346">
        <f t="shared" si="2"/>
        <v>0</v>
      </c>
      <c r="K13" s="332"/>
      <c r="L13" s="330"/>
      <c r="M13" s="346">
        <f t="shared" si="3"/>
        <v>0</v>
      </c>
      <c r="N13" s="332">
        <v>4.3</v>
      </c>
      <c r="O13" s="330">
        <v>7.0495039999999998</v>
      </c>
      <c r="P13" s="346">
        <f t="shared" si="4"/>
        <v>-2.7495039999999999</v>
      </c>
      <c r="Q13" s="352"/>
      <c r="R13" s="348"/>
      <c r="S13" s="346">
        <f t="shared" si="5"/>
        <v>0</v>
      </c>
    </row>
    <row r="14" spans="2:22" ht="18" customHeight="1" thickBot="1" x14ac:dyDescent="0.3">
      <c r="B14" s="305" t="s">
        <v>27</v>
      </c>
      <c r="C14" s="306" t="s">
        <v>28</v>
      </c>
      <c r="D14" s="323" t="s">
        <v>14</v>
      </c>
      <c r="E14" s="334"/>
      <c r="F14" s="335"/>
      <c r="G14" s="351">
        <f t="shared" si="1"/>
        <v>0</v>
      </c>
      <c r="H14" s="334"/>
      <c r="I14" s="335"/>
      <c r="J14" s="351">
        <f t="shared" si="2"/>
        <v>0</v>
      </c>
      <c r="K14" s="334"/>
      <c r="L14" s="335"/>
      <c r="M14" s="351">
        <f t="shared" si="3"/>
        <v>0</v>
      </c>
      <c r="N14" s="334">
        <v>0</v>
      </c>
      <c r="O14" s="335">
        <v>0</v>
      </c>
      <c r="P14" s="351">
        <f t="shared" si="4"/>
        <v>0</v>
      </c>
      <c r="Q14" s="353"/>
      <c r="R14" s="354"/>
      <c r="S14" s="351">
        <f t="shared" si="5"/>
        <v>0</v>
      </c>
    </row>
    <row r="15" spans="2:22" ht="18" customHeight="1" x14ac:dyDescent="0.25">
      <c r="B15" s="307">
        <v>1</v>
      </c>
      <c r="C15" s="308" t="s">
        <v>30</v>
      </c>
      <c r="D15" s="324" t="s">
        <v>31</v>
      </c>
      <c r="E15" s="342"/>
      <c r="F15" s="343"/>
      <c r="G15" s="347">
        <f>E15-F15</f>
        <v>0</v>
      </c>
      <c r="H15" s="342"/>
      <c r="I15" s="343"/>
      <c r="J15" s="347">
        <f t="shared" si="2"/>
        <v>0</v>
      </c>
      <c r="K15" s="342">
        <v>975.3</v>
      </c>
      <c r="L15" s="343">
        <v>909.58</v>
      </c>
      <c r="M15" s="347">
        <f t="shared" si="3"/>
        <v>65.719999999999914</v>
      </c>
      <c r="N15" s="342">
        <v>1065.2021367867183</v>
      </c>
      <c r="O15" s="343">
        <v>1013.9230366829861</v>
      </c>
      <c r="P15" s="347">
        <f t="shared" si="4"/>
        <v>51.279100103732162</v>
      </c>
      <c r="Q15" s="355">
        <f>'Корректировка тарифа'!I24</f>
        <v>1262.5248965136184</v>
      </c>
      <c r="R15" s="356">
        <f>'Корректировка тарифа'!J24</f>
        <v>1435.68</v>
      </c>
      <c r="S15" s="347">
        <f t="shared" si="5"/>
        <v>-173.15510348638168</v>
      </c>
      <c r="T15" s="448">
        <f>E15+H15+K15+N15+Q15</f>
        <v>3303.0270333003364</v>
      </c>
      <c r="U15" s="448">
        <f t="shared" ref="U15:U78" si="6">F15+I15+L15+O15+R15</f>
        <v>3359.1830366829863</v>
      </c>
      <c r="V15" s="448">
        <f>U15-T15</f>
        <v>56.156003382649942</v>
      </c>
    </row>
    <row r="16" spans="2:22" ht="18" hidden="1" customHeight="1" outlineLevel="1" thickBot="1" x14ac:dyDescent="0.3">
      <c r="B16" s="309" t="s">
        <v>12</v>
      </c>
      <c r="C16" s="310" t="s">
        <v>32</v>
      </c>
      <c r="D16" s="325" t="s">
        <v>31</v>
      </c>
      <c r="E16" s="332"/>
      <c r="F16" s="330"/>
      <c r="G16" s="349">
        <f t="shared" ref="G16:G64" si="7">E16-F16</f>
        <v>0</v>
      </c>
      <c r="H16" s="332"/>
      <c r="I16" s="330"/>
      <c r="J16" s="349">
        <f t="shared" si="2"/>
        <v>0</v>
      </c>
      <c r="K16" s="332"/>
      <c r="L16" s="330"/>
      <c r="M16" s="349">
        <f t="shared" si="3"/>
        <v>0</v>
      </c>
      <c r="N16" s="332"/>
      <c r="O16" s="330"/>
      <c r="P16" s="349">
        <f t="shared" si="4"/>
        <v>0</v>
      </c>
      <c r="Q16" s="352">
        <f>'Корректировка тарифа'!I25</f>
        <v>0</v>
      </c>
      <c r="R16" s="348">
        <f>'Корректировка тарифа'!J25</f>
        <v>0</v>
      </c>
      <c r="S16" s="349">
        <f t="shared" si="5"/>
        <v>0</v>
      </c>
      <c r="T16" s="448">
        <f t="shared" ref="T16:T79" si="8">E16+H16+K16+N16+Q16</f>
        <v>0</v>
      </c>
      <c r="U16" s="448">
        <f t="shared" si="6"/>
        <v>0</v>
      </c>
    </row>
    <row r="17" spans="2:21" ht="18" hidden="1" customHeight="1" outlineLevel="2" thickBot="1" x14ac:dyDescent="0.3">
      <c r="B17" s="309" t="s">
        <v>15</v>
      </c>
      <c r="C17" s="310" t="s">
        <v>33</v>
      </c>
      <c r="D17" s="325" t="s">
        <v>31</v>
      </c>
      <c r="E17" s="332"/>
      <c r="F17" s="330"/>
      <c r="G17" s="349">
        <f t="shared" si="7"/>
        <v>0</v>
      </c>
      <c r="H17" s="332"/>
      <c r="I17" s="330"/>
      <c r="J17" s="349">
        <f t="shared" si="2"/>
        <v>0</v>
      </c>
      <c r="K17" s="332"/>
      <c r="L17" s="330"/>
      <c r="M17" s="349">
        <f t="shared" si="3"/>
        <v>0</v>
      </c>
      <c r="N17" s="332"/>
      <c r="O17" s="330"/>
      <c r="P17" s="349">
        <f t="shared" si="4"/>
        <v>0</v>
      </c>
      <c r="Q17" s="352">
        <f>'Корректировка тарифа'!I26</f>
        <v>0</v>
      </c>
      <c r="R17" s="348">
        <f>'Корректировка тарифа'!J26</f>
        <v>0</v>
      </c>
      <c r="S17" s="349">
        <f t="shared" si="5"/>
        <v>0</v>
      </c>
      <c r="T17" s="448">
        <f t="shared" si="8"/>
        <v>0</v>
      </c>
      <c r="U17" s="448">
        <f t="shared" si="6"/>
        <v>0</v>
      </c>
    </row>
    <row r="18" spans="2:21" ht="18" hidden="1" customHeight="1" outlineLevel="2" thickBot="1" x14ac:dyDescent="0.3">
      <c r="B18" s="309" t="s">
        <v>17</v>
      </c>
      <c r="C18" s="310" t="s">
        <v>34</v>
      </c>
      <c r="D18" s="325" t="s">
        <v>31</v>
      </c>
      <c r="E18" s="332"/>
      <c r="F18" s="330"/>
      <c r="G18" s="349">
        <f t="shared" si="7"/>
        <v>0</v>
      </c>
      <c r="H18" s="332"/>
      <c r="I18" s="330"/>
      <c r="J18" s="349">
        <f t="shared" si="2"/>
        <v>0</v>
      </c>
      <c r="K18" s="332"/>
      <c r="L18" s="330"/>
      <c r="M18" s="349">
        <f t="shared" si="3"/>
        <v>0</v>
      </c>
      <c r="N18" s="332"/>
      <c r="O18" s="330"/>
      <c r="P18" s="349">
        <f t="shared" si="4"/>
        <v>0</v>
      </c>
      <c r="Q18" s="352">
        <f>'Корректировка тарифа'!I27</f>
        <v>0</v>
      </c>
      <c r="R18" s="348">
        <f>'Корректировка тарифа'!J27</f>
        <v>0</v>
      </c>
      <c r="S18" s="349">
        <f t="shared" si="5"/>
        <v>0</v>
      </c>
      <c r="T18" s="448">
        <f t="shared" si="8"/>
        <v>0</v>
      </c>
      <c r="U18" s="448">
        <f t="shared" si="6"/>
        <v>0</v>
      </c>
    </row>
    <row r="19" spans="2:21" ht="18" hidden="1" customHeight="1" outlineLevel="2" thickBot="1" x14ac:dyDescent="0.3">
      <c r="B19" s="309" t="s">
        <v>19</v>
      </c>
      <c r="C19" s="310" t="s">
        <v>35</v>
      </c>
      <c r="D19" s="325" t="s">
        <v>31</v>
      </c>
      <c r="E19" s="332"/>
      <c r="F19" s="330"/>
      <c r="G19" s="349">
        <f t="shared" si="7"/>
        <v>0</v>
      </c>
      <c r="H19" s="332"/>
      <c r="I19" s="330"/>
      <c r="J19" s="349">
        <f t="shared" si="2"/>
        <v>0</v>
      </c>
      <c r="K19" s="332"/>
      <c r="L19" s="330"/>
      <c r="M19" s="349">
        <f t="shared" si="3"/>
        <v>0</v>
      </c>
      <c r="N19" s="332"/>
      <c r="O19" s="330"/>
      <c r="P19" s="349">
        <f t="shared" si="4"/>
        <v>0</v>
      </c>
      <c r="Q19" s="352">
        <f>'Корректировка тарифа'!I28</f>
        <v>0</v>
      </c>
      <c r="R19" s="348">
        <f>'Корректировка тарифа'!J28</f>
        <v>0</v>
      </c>
      <c r="S19" s="349">
        <f t="shared" si="5"/>
        <v>0</v>
      </c>
      <c r="T19" s="448">
        <f t="shared" si="8"/>
        <v>0</v>
      </c>
      <c r="U19" s="448">
        <f t="shared" si="6"/>
        <v>0</v>
      </c>
    </row>
    <row r="20" spans="2:21" ht="18" hidden="1" customHeight="1" outlineLevel="1" thickBot="1" x14ac:dyDescent="0.3">
      <c r="B20" s="309" t="s">
        <v>23</v>
      </c>
      <c r="C20" s="310" t="s">
        <v>36</v>
      </c>
      <c r="D20" s="325" t="s">
        <v>31</v>
      </c>
      <c r="E20" s="332"/>
      <c r="F20" s="330"/>
      <c r="G20" s="349">
        <f t="shared" si="7"/>
        <v>0</v>
      </c>
      <c r="H20" s="332"/>
      <c r="I20" s="330"/>
      <c r="J20" s="349">
        <f t="shared" si="2"/>
        <v>0</v>
      </c>
      <c r="K20" s="332"/>
      <c r="L20" s="330"/>
      <c r="M20" s="349">
        <f t="shared" si="3"/>
        <v>0</v>
      </c>
      <c r="N20" s="332"/>
      <c r="O20" s="330"/>
      <c r="P20" s="349">
        <f t="shared" si="4"/>
        <v>0</v>
      </c>
      <c r="Q20" s="352">
        <f>'Корректировка тарифа'!I29</f>
        <v>0</v>
      </c>
      <c r="R20" s="348">
        <f>'Корректировка тарифа'!J29</f>
        <v>0</v>
      </c>
      <c r="S20" s="349">
        <f t="shared" si="5"/>
        <v>0</v>
      </c>
      <c r="T20" s="448">
        <f t="shared" si="8"/>
        <v>0</v>
      </c>
      <c r="U20" s="448">
        <f t="shared" si="6"/>
        <v>0</v>
      </c>
    </row>
    <row r="21" spans="2:21" ht="18" hidden="1" customHeight="1" outlineLevel="1" thickBot="1" x14ac:dyDescent="0.3">
      <c r="B21" s="309" t="s">
        <v>37</v>
      </c>
      <c r="C21" s="310" t="s">
        <v>38</v>
      </c>
      <c r="D21" s="325" t="s">
        <v>31</v>
      </c>
      <c r="E21" s="332"/>
      <c r="F21" s="330"/>
      <c r="G21" s="349">
        <f t="shared" si="7"/>
        <v>0</v>
      </c>
      <c r="H21" s="332"/>
      <c r="I21" s="330"/>
      <c r="J21" s="349">
        <f t="shared" si="2"/>
        <v>0</v>
      </c>
      <c r="K21" s="332"/>
      <c r="L21" s="330"/>
      <c r="M21" s="349">
        <f t="shared" si="3"/>
        <v>0</v>
      </c>
      <c r="N21" s="332"/>
      <c r="O21" s="330"/>
      <c r="P21" s="349">
        <f t="shared" si="4"/>
        <v>0</v>
      </c>
      <c r="Q21" s="352">
        <f>'Корректировка тарифа'!I30</f>
        <v>0</v>
      </c>
      <c r="R21" s="348">
        <f>'Корректировка тарифа'!J30</f>
        <v>0</v>
      </c>
      <c r="S21" s="349">
        <f t="shared" si="5"/>
        <v>0</v>
      </c>
      <c r="T21" s="448">
        <f t="shared" si="8"/>
        <v>0</v>
      </c>
      <c r="U21" s="448">
        <f t="shared" si="6"/>
        <v>0</v>
      </c>
    </row>
    <row r="22" spans="2:21" ht="18" hidden="1" customHeight="1" outlineLevel="1" thickBot="1" x14ac:dyDescent="0.3">
      <c r="B22" s="309" t="s">
        <v>39</v>
      </c>
      <c r="C22" s="310" t="s">
        <v>40</v>
      </c>
      <c r="D22" s="325" t="s">
        <v>31</v>
      </c>
      <c r="E22" s="332"/>
      <c r="F22" s="330"/>
      <c r="G22" s="349">
        <f t="shared" si="7"/>
        <v>0</v>
      </c>
      <c r="H22" s="332"/>
      <c r="I22" s="330"/>
      <c r="J22" s="349">
        <f t="shared" si="2"/>
        <v>0</v>
      </c>
      <c r="K22" s="332"/>
      <c r="L22" s="330"/>
      <c r="M22" s="349">
        <f t="shared" si="3"/>
        <v>0</v>
      </c>
      <c r="N22" s="332"/>
      <c r="O22" s="330"/>
      <c r="P22" s="349">
        <f t="shared" si="4"/>
        <v>0</v>
      </c>
      <c r="Q22" s="352">
        <f>'Корректировка тарифа'!I31</f>
        <v>0</v>
      </c>
      <c r="R22" s="348">
        <f>'Корректировка тарифа'!J31</f>
        <v>0</v>
      </c>
      <c r="S22" s="349">
        <f t="shared" si="5"/>
        <v>0</v>
      </c>
      <c r="T22" s="448">
        <f t="shared" si="8"/>
        <v>0</v>
      </c>
      <c r="U22" s="448">
        <f t="shared" si="6"/>
        <v>0</v>
      </c>
    </row>
    <row r="23" spans="2:21" ht="18" hidden="1" customHeight="1" outlineLevel="1" thickBot="1" x14ac:dyDescent="0.3">
      <c r="B23" s="309"/>
      <c r="C23" s="311" t="s">
        <v>41</v>
      </c>
      <c r="D23" s="326" t="s">
        <v>42</v>
      </c>
      <c r="E23" s="332"/>
      <c r="F23" s="330"/>
      <c r="G23" s="349">
        <f t="shared" si="7"/>
        <v>0</v>
      </c>
      <c r="H23" s="332"/>
      <c r="I23" s="330"/>
      <c r="J23" s="349">
        <f t="shared" si="2"/>
        <v>0</v>
      </c>
      <c r="K23" s="332"/>
      <c r="L23" s="330"/>
      <c r="M23" s="349">
        <f t="shared" si="3"/>
        <v>0</v>
      </c>
      <c r="N23" s="332"/>
      <c r="O23" s="330"/>
      <c r="P23" s="349">
        <f t="shared" si="4"/>
        <v>0</v>
      </c>
      <c r="Q23" s="352">
        <f>'Корректировка тарифа'!I32</f>
        <v>0</v>
      </c>
      <c r="R23" s="348">
        <f>'Корректировка тарифа'!J32</f>
        <v>0</v>
      </c>
      <c r="S23" s="349">
        <f t="shared" si="5"/>
        <v>0</v>
      </c>
      <c r="T23" s="448">
        <f t="shared" si="8"/>
        <v>0</v>
      </c>
      <c r="U23" s="448">
        <f t="shared" si="6"/>
        <v>0</v>
      </c>
    </row>
    <row r="24" spans="2:21" ht="18" hidden="1" customHeight="1" outlineLevel="1" thickBot="1" x14ac:dyDescent="0.3">
      <c r="B24" s="309"/>
      <c r="C24" s="311" t="s">
        <v>43</v>
      </c>
      <c r="D24" s="326" t="s">
        <v>44</v>
      </c>
      <c r="E24" s="332"/>
      <c r="F24" s="330"/>
      <c r="G24" s="349">
        <f t="shared" si="7"/>
        <v>0</v>
      </c>
      <c r="H24" s="332"/>
      <c r="I24" s="330"/>
      <c r="J24" s="349">
        <f t="shared" si="2"/>
        <v>0</v>
      </c>
      <c r="K24" s="332"/>
      <c r="L24" s="330"/>
      <c r="M24" s="349">
        <f t="shared" si="3"/>
        <v>0</v>
      </c>
      <c r="N24" s="332"/>
      <c r="O24" s="330"/>
      <c r="P24" s="349">
        <f t="shared" si="4"/>
        <v>0</v>
      </c>
      <c r="Q24" s="352">
        <f>'Корректировка тарифа'!I33</f>
        <v>0</v>
      </c>
      <c r="R24" s="348">
        <f>'Корректировка тарифа'!J33</f>
        <v>0</v>
      </c>
      <c r="S24" s="349">
        <f t="shared" si="5"/>
        <v>0</v>
      </c>
      <c r="T24" s="448">
        <f t="shared" si="8"/>
        <v>0</v>
      </c>
      <c r="U24" s="448">
        <f t="shared" si="6"/>
        <v>0</v>
      </c>
    </row>
    <row r="25" spans="2:21" ht="18" hidden="1" customHeight="1" outlineLevel="1" thickBot="1" x14ac:dyDescent="0.3">
      <c r="B25" s="788"/>
      <c r="C25" s="778" t="s">
        <v>45</v>
      </c>
      <c r="D25" s="325" t="s">
        <v>46</v>
      </c>
      <c r="E25" s="332"/>
      <c r="F25" s="330"/>
      <c r="G25" s="349">
        <f t="shared" si="7"/>
        <v>0</v>
      </c>
      <c r="H25" s="332"/>
      <c r="I25" s="330"/>
      <c r="J25" s="349">
        <f t="shared" si="2"/>
        <v>0</v>
      </c>
      <c r="K25" s="332"/>
      <c r="L25" s="330"/>
      <c r="M25" s="349">
        <f t="shared" si="3"/>
        <v>0</v>
      </c>
      <c r="N25" s="332"/>
      <c r="O25" s="330"/>
      <c r="P25" s="349">
        <f t="shared" si="4"/>
        <v>0</v>
      </c>
      <c r="Q25" s="352">
        <f>'Корректировка тарифа'!I34</f>
        <v>0</v>
      </c>
      <c r="R25" s="348">
        <f>'Корректировка тарифа'!J34</f>
        <v>0</v>
      </c>
      <c r="S25" s="349">
        <f t="shared" si="5"/>
        <v>0</v>
      </c>
      <c r="T25" s="448">
        <f t="shared" si="8"/>
        <v>0</v>
      </c>
      <c r="U25" s="448">
        <f t="shared" si="6"/>
        <v>0</v>
      </c>
    </row>
    <row r="26" spans="2:21" ht="18" hidden="1" customHeight="1" outlineLevel="1" thickBot="1" x14ac:dyDescent="0.3">
      <c r="B26" s="788"/>
      <c r="C26" s="778"/>
      <c r="D26" s="325" t="s">
        <v>31</v>
      </c>
      <c r="E26" s="332"/>
      <c r="F26" s="330"/>
      <c r="G26" s="349">
        <f t="shared" si="7"/>
        <v>0</v>
      </c>
      <c r="H26" s="332"/>
      <c r="I26" s="330"/>
      <c r="J26" s="349">
        <f t="shared" si="2"/>
        <v>0</v>
      </c>
      <c r="K26" s="332"/>
      <c r="L26" s="330"/>
      <c r="M26" s="349">
        <f t="shared" si="3"/>
        <v>0</v>
      </c>
      <c r="N26" s="332"/>
      <c r="O26" s="330"/>
      <c r="P26" s="349">
        <f t="shared" si="4"/>
        <v>0</v>
      </c>
      <c r="Q26" s="352">
        <f>'Корректировка тарифа'!I35</f>
        <v>0</v>
      </c>
      <c r="R26" s="348">
        <f>'Корректировка тарифа'!J35</f>
        <v>0</v>
      </c>
      <c r="S26" s="349">
        <f t="shared" si="5"/>
        <v>0</v>
      </c>
      <c r="T26" s="448">
        <f t="shared" si="8"/>
        <v>0</v>
      </c>
      <c r="U26" s="448">
        <f t="shared" si="6"/>
        <v>0</v>
      </c>
    </row>
    <row r="27" spans="2:21" ht="18" hidden="1" customHeight="1" outlineLevel="1" thickBot="1" x14ac:dyDescent="0.3">
      <c r="B27" s="309" t="s">
        <v>47</v>
      </c>
      <c r="C27" s="310" t="s">
        <v>48</v>
      </c>
      <c r="D27" s="325" t="s">
        <v>31</v>
      </c>
      <c r="E27" s="332"/>
      <c r="F27" s="330"/>
      <c r="G27" s="349">
        <f t="shared" si="7"/>
        <v>0</v>
      </c>
      <c r="H27" s="332"/>
      <c r="I27" s="330"/>
      <c r="J27" s="349">
        <f t="shared" si="2"/>
        <v>0</v>
      </c>
      <c r="K27" s="332"/>
      <c r="L27" s="330"/>
      <c r="M27" s="349">
        <f t="shared" si="3"/>
        <v>0</v>
      </c>
      <c r="N27" s="332"/>
      <c r="O27" s="330"/>
      <c r="P27" s="349">
        <f t="shared" si="4"/>
        <v>0</v>
      </c>
      <c r="Q27" s="352">
        <f>'Корректировка тарифа'!I36</f>
        <v>0</v>
      </c>
      <c r="R27" s="348">
        <f>'Корректировка тарифа'!J36</f>
        <v>0</v>
      </c>
      <c r="S27" s="349">
        <f t="shared" si="5"/>
        <v>0</v>
      </c>
      <c r="T27" s="448">
        <f t="shared" si="8"/>
        <v>0</v>
      </c>
      <c r="U27" s="448">
        <f t="shared" si="6"/>
        <v>0</v>
      </c>
    </row>
    <row r="28" spans="2:21" ht="18" hidden="1" customHeight="1" outlineLevel="1" thickBot="1" x14ac:dyDescent="0.3">
      <c r="B28" s="309"/>
      <c r="C28" s="311" t="s">
        <v>49</v>
      </c>
      <c r="D28" s="326" t="s">
        <v>42</v>
      </c>
      <c r="E28" s="332"/>
      <c r="F28" s="330"/>
      <c r="G28" s="349">
        <f t="shared" si="7"/>
        <v>0</v>
      </c>
      <c r="H28" s="332"/>
      <c r="I28" s="330"/>
      <c r="J28" s="349">
        <f t="shared" si="2"/>
        <v>0</v>
      </c>
      <c r="K28" s="332"/>
      <c r="L28" s="330"/>
      <c r="M28" s="349">
        <f t="shared" si="3"/>
        <v>0</v>
      </c>
      <c r="N28" s="332"/>
      <c r="O28" s="330"/>
      <c r="P28" s="349">
        <f t="shared" si="4"/>
        <v>0</v>
      </c>
      <c r="Q28" s="352">
        <f>'Корректировка тарифа'!I37</f>
        <v>0</v>
      </c>
      <c r="R28" s="348">
        <f>'Корректировка тарифа'!J37</f>
        <v>0</v>
      </c>
      <c r="S28" s="349">
        <f t="shared" si="5"/>
        <v>0</v>
      </c>
      <c r="T28" s="448">
        <f t="shared" si="8"/>
        <v>0</v>
      </c>
      <c r="U28" s="448">
        <f t="shared" si="6"/>
        <v>0</v>
      </c>
    </row>
    <row r="29" spans="2:21" ht="18" hidden="1" customHeight="1" outlineLevel="1" thickBot="1" x14ac:dyDescent="0.3">
      <c r="B29" s="309"/>
      <c r="C29" s="311" t="s">
        <v>50</v>
      </c>
      <c r="D29" s="326" t="s">
        <v>44</v>
      </c>
      <c r="E29" s="332"/>
      <c r="F29" s="330"/>
      <c r="G29" s="349">
        <f t="shared" si="7"/>
        <v>0</v>
      </c>
      <c r="H29" s="332"/>
      <c r="I29" s="330"/>
      <c r="J29" s="349">
        <f t="shared" si="2"/>
        <v>0</v>
      </c>
      <c r="K29" s="332"/>
      <c r="L29" s="330"/>
      <c r="M29" s="349">
        <f t="shared" si="3"/>
        <v>0</v>
      </c>
      <c r="N29" s="332"/>
      <c r="O29" s="330"/>
      <c r="P29" s="349">
        <f t="shared" si="4"/>
        <v>0</v>
      </c>
      <c r="Q29" s="352">
        <f>'Корректировка тарифа'!I38</f>
        <v>0</v>
      </c>
      <c r="R29" s="348">
        <f>'Корректировка тарифа'!J38</f>
        <v>0</v>
      </c>
      <c r="S29" s="349">
        <f t="shared" si="5"/>
        <v>0</v>
      </c>
      <c r="T29" s="448">
        <f t="shared" si="8"/>
        <v>0</v>
      </c>
      <c r="U29" s="448">
        <f t="shared" si="6"/>
        <v>0</v>
      </c>
    </row>
    <row r="30" spans="2:21" ht="18" hidden="1" customHeight="1" outlineLevel="1" thickBot="1" x14ac:dyDescent="0.3">
      <c r="B30" s="788"/>
      <c r="C30" s="778" t="s">
        <v>51</v>
      </c>
      <c r="D30" s="325" t="s">
        <v>46</v>
      </c>
      <c r="E30" s="332"/>
      <c r="F30" s="330"/>
      <c r="G30" s="349">
        <f t="shared" si="7"/>
        <v>0</v>
      </c>
      <c r="H30" s="332"/>
      <c r="I30" s="330"/>
      <c r="J30" s="349">
        <f t="shared" si="2"/>
        <v>0</v>
      </c>
      <c r="K30" s="332"/>
      <c r="L30" s="330"/>
      <c r="M30" s="349">
        <f t="shared" si="3"/>
        <v>0</v>
      </c>
      <c r="N30" s="332"/>
      <c r="O30" s="330"/>
      <c r="P30" s="349">
        <f t="shared" si="4"/>
        <v>0</v>
      </c>
      <c r="Q30" s="352">
        <f>'Корректировка тарифа'!I39</f>
        <v>0</v>
      </c>
      <c r="R30" s="348">
        <f>'Корректировка тарифа'!J39</f>
        <v>0</v>
      </c>
      <c r="S30" s="349">
        <f t="shared" si="5"/>
        <v>0</v>
      </c>
      <c r="T30" s="448">
        <f t="shared" si="8"/>
        <v>0</v>
      </c>
      <c r="U30" s="448">
        <f t="shared" si="6"/>
        <v>0</v>
      </c>
    </row>
    <row r="31" spans="2:21" ht="18" hidden="1" customHeight="1" outlineLevel="1" thickBot="1" x14ac:dyDescent="0.3">
      <c r="B31" s="788"/>
      <c r="C31" s="778"/>
      <c r="D31" s="325" t="s">
        <v>31</v>
      </c>
      <c r="E31" s="332"/>
      <c r="F31" s="330"/>
      <c r="G31" s="349">
        <f t="shared" si="7"/>
        <v>0</v>
      </c>
      <c r="H31" s="332"/>
      <c r="I31" s="330"/>
      <c r="J31" s="349">
        <f t="shared" si="2"/>
        <v>0</v>
      </c>
      <c r="K31" s="332"/>
      <c r="L31" s="330"/>
      <c r="M31" s="349">
        <f t="shared" si="3"/>
        <v>0</v>
      </c>
      <c r="N31" s="332"/>
      <c r="O31" s="330"/>
      <c r="P31" s="349">
        <f t="shared" si="4"/>
        <v>0</v>
      </c>
      <c r="Q31" s="352">
        <f>'Корректировка тарифа'!I40</f>
        <v>0</v>
      </c>
      <c r="R31" s="348">
        <f>'Корректировка тарифа'!J40</f>
        <v>0</v>
      </c>
      <c r="S31" s="349">
        <f t="shared" si="5"/>
        <v>0</v>
      </c>
      <c r="T31" s="448">
        <f t="shared" si="8"/>
        <v>0</v>
      </c>
      <c r="U31" s="448">
        <f t="shared" si="6"/>
        <v>0</v>
      </c>
    </row>
    <row r="32" spans="2:21" ht="18" hidden="1" customHeight="1" outlineLevel="2" thickBot="1" x14ac:dyDescent="0.3">
      <c r="B32" s="309" t="s">
        <v>52</v>
      </c>
      <c r="C32" s="310" t="s">
        <v>53</v>
      </c>
      <c r="D32" s="325" t="s">
        <v>31</v>
      </c>
      <c r="E32" s="332"/>
      <c r="F32" s="330"/>
      <c r="G32" s="349">
        <f t="shared" si="7"/>
        <v>0</v>
      </c>
      <c r="H32" s="332"/>
      <c r="I32" s="330"/>
      <c r="J32" s="349">
        <f t="shared" si="2"/>
        <v>0</v>
      </c>
      <c r="K32" s="332"/>
      <c r="L32" s="330"/>
      <c r="M32" s="349">
        <f t="shared" si="3"/>
        <v>0</v>
      </c>
      <c r="N32" s="332"/>
      <c r="O32" s="330"/>
      <c r="P32" s="349">
        <f t="shared" si="4"/>
        <v>0</v>
      </c>
      <c r="Q32" s="352">
        <f>'Корректировка тарифа'!I41</f>
        <v>0</v>
      </c>
      <c r="R32" s="348">
        <f>'Корректировка тарифа'!J41</f>
        <v>0</v>
      </c>
      <c r="S32" s="349">
        <f t="shared" si="5"/>
        <v>0</v>
      </c>
      <c r="T32" s="448">
        <f t="shared" si="8"/>
        <v>0</v>
      </c>
      <c r="U32" s="448">
        <f t="shared" si="6"/>
        <v>0</v>
      </c>
    </row>
    <row r="33" spans="2:21" ht="18" hidden="1" customHeight="1" outlineLevel="2" thickBot="1" x14ac:dyDescent="0.3">
      <c r="B33" s="309" t="s">
        <v>54</v>
      </c>
      <c r="C33" s="310" t="s">
        <v>55</v>
      </c>
      <c r="D33" s="325" t="s">
        <v>31</v>
      </c>
      <c r="E33" s="332"/>
      <c r="F33" s="330"/>
      <c r="G33" s="349">
        <f t="shared" si="7"/>
        <v>0</v>
      </c>
      <c r="H33" s="332"/>
      <c r="I33" s="330"/>
      <c r="J33" s="349">
        <f t="shared" si="2"/>
        <v>0</v>
      </c>
      <c r="K33" s="332"/>
      <c r="L33" s="330"/>
      <c r="M33" s="349">
        <f t="shared" si="3"/>
        <v>0</v>
      </c>
      <c r="N33" s="332"/>
      <c r="O33" s="330"/>
      <c r="P33" s="349">
        <f t="shared" si="4"/>
        <v>0</v>
      </c>
      <c r="Q33" s="352">
        <f>'Корректировка тарифа'!I42</f>
        <v>0</v>
      </c>
      <c r="R33" s="348">
        <f>'Корректировка тарифа'!J42</f>
        <v>0</v>
      </c>
      <c r="S33" s="349">
        <f t="shared" si="5"/>
        <v>0</v>
      </c>
      <c r="T33" s="448">
        <f t="shared" si="8"/>
        <v>0</v>
      </c>
      <c r="U33" s="448">
        <f t="shared" si="6"/>
        <v>0</v>
      </c>
    </row>
    <row r="34" spans="2:21" ht="18" hidden="1" customHeight="1" outlineLevel="2" thickBot="1" x14ac:dyDescent="0.3">
      <c r="B34" s="309" t="s">
        <v>56</v>
      </c>
      <c r="C34" s="310" t="s">
        <v>57</v>
      </c>
      <c r="D34" s="325" t="s">
        <v>31</v>
      </c>
      <c r="E34" s="332"/>
      <c r="F34" s="330"/>
      <c r="G34" s="349">
        <f t="shared" si="7"/>
        <v>0</v>
      </c>
      <c r="H34" s="332"/>
      <c r="I34" s="330"/>
      <c r="J34" s="349">
        <f t="shared" si="2"/>
        <v>0</v>
      </c>
      <c r="K34" s="332"/>
      <c r="L34" s="330"/>
      <c r="M34" s="349">
        <f t="shared" si="3"/>
        <v>0</v>
      </c>
      <c r="N34" s="332"/>
      <c r="O34" s="330"/>
      <c r="P34" s="349">
        <f t="shared" si="4"/>
        <v>0</v>
      </c>
      <c r="Q34" s="352">
        <f>'Корректировка тарифа'!I43</f>
        <v>0</v>
      </c>
      <c r="R34" s="348">
        <f>'Корректировка тарифа'!J43</f>
        <v>0</v>
      </c>
      <c r="S34" s="349">
        <f t="shared" si="5"/>
        <v>0</v>
      </c>
      <c r="T34" s="448">
        <f t="shared" si="8"/>
        <v>0</v>
      </c>
      <c r="U34" s="448">
        <f t="shared" si="6"/>
        <v>0</v>
      </c>
    </row>
    <row r="35" spans="2:21" ht="18" hidden="1" customHeight="1" outlineLevel="2" thickBot="1" x14ac:dyDescent="0.3">
      <c r="B35" s="301" t="s">
        <v>58</v>
      </c>
      <c r="C35" s="310" t="s">
        <v>59</v>
      </c>
      <c r="D35" s="325" t="s">
        <v>31</v>
      </c>
      <c r="E35" s="332"/>
      <c r="F35" s="330"/>
      <c r="G35" s="349">
        <f t="shared" si="7"/>
        <v>0</v>
      </c>
      <c r="H35" s="332"/>
      <c r="I35" s="330"/>
      <c r="J35" s="349">
        <f t="shared" si="2"/>
        <v>0</v>
      </c>
      <c r="K35" s="332"/>
      <c r="L35" s="330"/>
      <c r="M35" s="349">
        <f t="shared" si="3"/>
        <v>0</v>
      </c>
      <c r="N35" s="332"/>
      <c r="O35" s="330"/>
      <c r="P35" s="349">
        <f t="shared" si="4"/>
        <v>0</v>
      </c>
      <c r="Q35" s="352">
        <f>'Корректировка тарифа'!I44</f>
        <v>0</v>
      </c>
      <c r="R35" s="348">
        <f>'Корректировка тарифа'!J44</f>
        <v>0</v>
      </c>
      <c r="S35" s="349">
        <f t="shared" si="5"/>
        <v>0</v>
      </c>
      <c r="T35" s="448">
        <f t="shared" si="8"/>
        <v>0</v>
      </c>
      <c r="U35" s="448">
        <f t="shared" si="6"/>
        <v>0</v>
      </c>
    </row>
    <row r="36" spans="2:21" ht="18" hidden="1" customHeight="1" outlineLevel="2" thickBot="1" x14ac:dyDescent="0.3">
      <c r="B36" s="301" t="s">
        <v>60</v>
      </c>
      <c r="C36" s="310" t="s">
        <v>61</v>
      </c>
      <c r="D36" s="325" t="s">
        <v>31</v>
      </c>
      <c r="E36" s="332"/>
      <c r="F36" s="330"/>
      <c r="G36" s="349">
        <f t="shared" si="7"/>
        <v>0</v>
      </c>
      <c r="H36" s="332"/>
      <c r="I36" s="330"/>
      <c r="J36" s="349">
        <f t="shared" si="2"/>
        <v>0</v>
      </c>
      <c r="K36" s="332"/>
      <c r="L36" s="330"/>
      <c r="M36" s="349">
        <f t="shared" si="3"/>
        <v>0</v>
      </c>
      <c r="N36" s="332"/>
      <c r="O36" s="330"/>
      <c r="P36" s="349">
        <f t="shared" si="4"/>
        <v>0</v>
      </c>
      <c r="Q36" s="352">
        <f>'Корректировка тарифа'!I45</f>
        <v>0</v>
      </c>
      <c r="R36" s="348">
        <f>'Корректировка тарифа'!J45</f>
        <v>0</v>
      </c>
      <c r="S36" s="349">
        <f t="shared" si="5"/>
        <v>0</v>
      </c>
      <c r="T36" s="448">
        <f t="shared" si="8"/>
        <v>0</v>
      </c>
      <c r="U36" s="448">
        <f t="shared" si="6"/>
        <v>0</v>
      </c>
    </row>
    <row r="37" spans="2:21" ht="18" hidden="1" customHeight="1" outlineLevel="2" thickBot="1" x14ac:dyDescent="0.3">
      <c r="B37" s="301" t="s">
        <v>62</v>
      </c>
      <c r="C37" s="310" t="s">
        <v>63</v>
      </c>
      <c r="D37" s="325" t="s">
        <v>31</v>
      </c>
      <c r="E37" s="332"/>
      <c r="F37" s="330"/>
      <c r="G37" s="349">
        <f t="shared" si="7"/>
        <v>0</v>
      </c>
      <c r="H37" s="332"/>
      <c r="I37" s="330"/>
      <c r="J37" s="349">
        <f t="shared" si="2"/>
        <v>0</v>
      </c>
      <c r="K37" s="332"/>
      <c r="L37" s="330"/>
      <c r="M37" s="349">
        <f t="shared" si="3"/>
        <v>0</v>
      </c>
      <c r="N37" s="332"/>
      <c r="O37" s="330"/>
      <c r="P37" s="349">
        <f t="shared" si="4"/>
        <v>0</v>
      </c>
      <c r="Q37" s="352">
        <f>'Корректировка тарифа'!I46</f>
        <v>0</v>
      </c>
      <c r="R37" s="348">
        <f>'Корректировка тарифа'!J46</f>
        <v>0</v>
      </c>
      <c r="S37" s="349">
        <f t="shared" si="5"/>
        <v>0</v>
      </c>
      <c r="T37" s="448">
        <f t="shared" si="8"/>
        <v>0</v>
      </c>
      <c r="U37" s="448">
        <f t="shared" si="6"/>
        <v>0</v>
      </c>
    </row>
    <row r="38" spans="2:21" ht="18" hidden="1" customHeight="1" outlineLevel="2" thickBot="1" x14ac:dyDescent="0.3">
      <c r="B38" s="301" t="s">
        <v>64</v>
      </c>
      <c r="C38" s="310" t="s">
        <v>65</v>
      </c>
      <c r="D38" s="325" t="s">
        <v>31</v>
      </c>
      <c r="E38" s="332"/>
      <c r="F38" s="330"/>
      <c r="G38" s="349">
        <f t="shared" si="7"/>
        <v>0</v>
      </c>
      <c r="H38" s="332"/>
      <c r="I38" s="330"/>
      <c r="J38" s="349">
        <f t="shared" si="2"/>
        <v>0</v>
      </c>
      <c r="K38" s="332"/>
      <c r="L38" s="330"/>
      <c r="M38" s="349">
        <f t="shared" si="3"/>
        <v>0</v>
      </c>
      <c r="N38" s="332"/>
      <c r="O38" s="330"/>
      <c r="P38" s="349">
        <f t="shared" si="4"/>
        <v>0</v>
      </c>
      <c r="Q38" s="352">
        <f>'Корректировка тарифа'!I47</f>
        <v>0</v>
      </c>
      <c r="R38" s="348">
        <f>'Корректировка тарифа'!J47</f>
        <v>0</v>
      </c>
      <c r="S38" s="349">
        <f t="shared" si="5"/>
        <v>0</v>
      </c>
      <c r="T38" s="448">
        <f t="shared" si="8"/>
        <v>0</v>
      </c>
      <c r="U38" s="448">
        <f t="shared" si="6"/>
        <v>0</v>
      </c>
    </row>
    <row r="39" spans="2:21" ht="18" hidden="1" customHeight="1" outlineLevel="2" thickBot="1" x14ac:dyDescent="0.3">
      <c r="B39" s="301" t="s">
        <v>66</v>
      </c>
      <c r="C39" s="310" t="s">
        <v>67</v>
      </c>
      <c r="D39" s="325" t="s">
        <v>31</v>
      </c>
      <c r="E39" s="332"/>
      <c r="F39" s="330"/>
      <c r="G39" s="349">
        <f t="shared" si="7"/>
        <v>0</v>
      </c>
      <c r="H39" s="332"/>
      <c r="I39" s="330"/>
      <c r="J39" s="349">
        <f t="shared" si="2"/>
        <v>0</v>
      </c>
      <c r="K39" s="332"/>
      <c r="L39" s="330"/>
      <c r="M39" s="349">
        <f t="shared" si="3"/>
        <v>0</v>
      </c>
      <c r="N39" s="332"/>
      <c r="O39" s="330"/>
      <c r="P39" s="349">
        <f t="shared" si="4"/>
        <v>0</v>
      </c>
      <c r="Q39" s="352">
        <f>'Корректировка тарифа'!I48</f>
        <v>0</v>
      </c>
      <c r="R39" s="348">
        <f>'Корректировка тарифа'!J48</f>
        <v>0</v>
      </c>
      <c r="S39" s="349">
        <f t="shared" si="5"/>
        <v>0</v>
      </c>
      <c r="T39" s="448">
        <f t="shared" si="8"/>
        <v>0</v>
      </c>
      <c r="U39" s="448">
        <f t="shared" si="6"/>
        <v>0</v>
      </c>
    </row>
    <row r="40" spans="2:21" ht="18" hidden="1" customHeight="1" outlineLevel="1" thickBot="1" x14ac:dyDescent="0.3">
      <c r="B40" s="309" t="s">
        <v>68</v>
      </c>
      <c r="C40" s="310" t="s">
        <v>69</v>
      </c>
      <c r="D40" s="325" t="s">
        <v>31</v>
      </c>
      <c r="E40" s="332"/>
      <c r="F40" s="330"/>
      <c r="G40" s="349">
        <f t="shared" si="7"/>
        <v>0</v>
      </c>
      <c r="H40" s="332"/>
      <c r="I40" s="330"/>
      <c r="J40" s="349">
        <f t="shared" si="2"/>
        <v>0</v>
      </c>
      <c r="K40" s="332"/>
      <c r="L40" s="330"/>
      <c r="M40" s="349">
        <f t="shared" si="3"/>
        <v>0</v>
      </c>
      <c r="N40" s="332"/>
      <c r="O40" s="330"/>
      <c r="P40" s="349">
        <f t="shared" si="4"/>
        <v>0</v>
      </c>
      <c r="Q40" s="352">
        <f>'Корректировка тарифа'!I49</f>
        <v>0</v>
      </c>
      <c r="R40" s="348">
        <f>'Корректировка тарифа'!J49</f>
        <v>0</v>
      </c>
      <c r="S40" s="349">
        <f t="shared" si="5"/>
        <v>0</v>
      </c>
      <c r="T40" s="448">
        <f t="shared" si="8"/>
        <v>0</v>
      </c>
      <c r="U40" s="448">
        <f t="shared" si="6"/>
        <v>0</v>
      </c>
    </row>
    <row r="41" spans="2:21" ht="18" hidden="1" customHeight="1" outlineLevel="1" thickBot="1" x14ac:dyDescent="0.3">
      <c r="B41" s="301" t="s">
        <v>70</v>
      </c>
      <c r="C41" s="310" t="s">
        <v>71</v>
      </c>
      <c r="D41" s="325" t="s">
        <v>31</v>
      </c>
      <c r="E41" s="332"/>
      <c r="F41" s="330"/>
      <c r="G41" s="349">
        <f t="shared" si="7"/>
        <v>0</v>
      </c>
      <c r="H41" s="332"/>
      <c r="I41" s="330"/>
      <c r="J41" s="349">
        <f t="shared" si="2"/>
        <v>0</v>
      </c>
      <c r="K41" s="332"/>
      <c r="L41" s="330"/>
      <c r="M41" s="349">
        <f t="shared" si="3"/>
        <v>0</v>
      </c>
      <c r="N41" s="332"/>
      <c r="O41" s="330"/>
      <c r="P41" s="349">
        <f t="shared" si="4"/>
        <v>0</v>
      </c>
      <c r="Q41" s="352">
        <f>'Корректировка тарифа'!I50</f>
        <v>0</v>
      </c>
      <c r="R41" s="348">
        <f>'Корректировка тарифа'!J50</f>
        <v>0</v>
      </c>
      <c r="S41" s="349">
        <f t="shared" si="5"/>
        <v>0</v>
      </c>
      <c r="T41" s="448">
        <f t="shared" si="8"/>
        <v>0</v>
      </c>
      <c r="U41" s="448">
        <f t="shared" si="6"/>
        <v>0</v>
      </c>
    </row>
    <row r="42" spans="2:21" ht="18" hidden="1" customHeight="1" outlineLevel="1" thickBot="1" x14ac:dyDescent="0.3">
      <c r="B42" s="301" t="s">
        <v>72</v>
      </c>
      <c r="C42" s="310" t="s">
        <v>73</v>
      </c>
      <c r="D42" s="325" t="s">
        <v>31</v>
      </c>
      <c r="E42" s="332"/>
      <c r="F42" s="330"/>
      <c r="G42" s="349">
        <f t="shared" si="7"/>
        <v>0</v>
      </c>
      <c r="H42" s="332"/>
      <c r="I42" s="330"/>
      <c r="J42" s="349">
        <f t="shared" si="2"/>
        <v>0</v>
      </c>
      <c r="K42" s="332"/>
      <c r="L42" s="330"/>
      <c r="M42" s="349">
        <f t="shared" si="3"/>
        <v>0</v>
      </c>
      <c r="N42" s="332"/>
      <c r="O42" s="330"/>
      <c r="P42" s="349">
        <f t="shared" si="4"/>
        <v>0</v>
      </c>
      <c r="Q42" s="352">
        <f>'Корректировка тарифа'!I51</f>
        <v>0</v>
      </c>
      <c r="R42" s="348">
        <f>'Корректировка тарифа'!J51</f>
        <v>0</v>
      </c>
      <c r="S42" s="349">
        <f t="shared" si="5"/>
        <v>0</v>
      </c>
      <c r="T42" s="448">
        <f t="shared" si="8"/>
        <v>0</v>
      </c>
      <c r="U42" s="448">
        <f t="shared" si="6"/>
        <v>0</v>
      </c>
    </row>
    <row r="43" spans="2:21" ht="18" hidden="1" customHeight="1" outlineLevel="1" thickBot="1" x14ac:dyDescent="0.3">
      <c r="B43" s="301" t="s">
        <v>74</v>
      </c>
      <c r="C43" s="310" t="s">
        <v>75</v>
      </c>
      <c r="D43" s="325" t="s">
        <v>31</v>
      </c>
      <c r="E43" s="332"/>
      <c r="F43" s="330"/>
      <c r="G43" s="349">
        <f t="shared" si="7"/>
        <v>0</v>
      </c>
      <c r="H43" s="332"/>
      <c r="I43" s="330"/>
      <c r="J43" s="349">
        <f t="shared" si="2"/>
        <v>0</v>
      </c>
      <c r="K43" s="332"/>
      <c r="L43" s="330"/>
      <c r="M43" s="349">
        <f t="shared" si="3"/>
        <v>0</v>
      </c>
      <c r="N43" s="332"/>
      <c r="O43" s="330"/>
      <c r="P43" s="349">
        <f t="shared" si="4"/>
        <v>0</v>
      </c>
      <c r="Q43" s="352">
        <f>'Корректировка тарифа'!I52</f>
        <v>0</v>
      </c>
      <c r="R43" s="348">
        <f>'Корректировка тарифа'!J52</f>
        <v>0</v>
      </c>
      <c r="S43" s="349">
        <f t="shared" si="5"/>
        <v>0</v>
      </c>
      <c r="T43" s="448">
        <f t="shared" si="8"/>
        <v>0</v>
      </c>
      <c r="U43" s="448">
        <f t="shared" si="6"/>
        <v>0</v>
      </c>
    </row>
    <row r="44" spans="2:21" ht="18" hidden="1" customHeight="1" outlineLevel="1" thickBot="1" x14ac:dyDescent="0.3">
      <c r="B44" s="301" t="s">
        <v>76</v>
      </c>
      <c r="C44" s="310" t="s">
        <v>77</v>
      </c>
      <c r="D44" s="325" t="s">
        <v>31</v>
      </c>
      <c r="E44" s="332"/>
      <c r="F44" s="330"/>
      <c r="G44" s="349">
        <f t="shared" si="7"/>
        <v>0</v>
      </c>
      <c r="H44" s="332"/>
      <c r="I44" s="330"/>
      <c r="J44" s="349">
        <f t="shared" si="2"/>
        <v>0</v>
      </c>
      <c r="K44" s="332"/>
      <c r="L44" s="330"/>
      <c r="M44" s="349">
        <f t="shared" si="3"/>
        <v>0</v>
      </c>
      <c r="N44" s="332"/>
      <c r="O44" s="330"/>
      <c r="P44" s="349">
        <f t="shared" si="4"/>
        <v>0</v>
      </c>
      <c r="Q44" s="352">
        <f>'Корректировка тарифа'!I53</f>
        <v>0</v>
      </c>
      <c r="R44" s="348">
        <f>'Корректировка тарифа'!J53</f>
        <v>0</v>
      </c>
      <c r="S44" s="349">
        <f t="shared" si="5"/>
        <v>0</v>
      </c>
      <c r="T44" s="448">
        <f t="shared" si="8"/>
        <v>0</v>
      </c>
      <c r="U44" s="448">
        <f t="shared" si="6"/>
        <v>0</v>
      </c>
    </row>
    <row r="45" spans="2:21" ht="18" hidden="1" customHeight="1" outlineLevel="1" thickBot="1" x14ac:dyDescent="0.3">
      <c r="B45" s="301"/>
      <c r="C45" s="311" t="s">
        <v>78</v>
      </c>
      <c r="D45" s="326" t="s">
        <v>42</v>
      </c>
      <c r="E45" s="332"/>
      <c r="F45" s="330"/>
      <c r="G45" s="349">
        <f t="shared" si="7"/>
        <v>0</v>
      </c>
      <c r="H45" s="332"/>
      <c r="I45" s="330"/>
      <c r="J45" s="349">
        <f t="shared" si="2"/>
        <v>0</v>
      </c>
      <c r="K45" s="332"/>
      <c r="L45" s="330"/>
      <c r="M45" s="349">
        <f t="shared" si="3"/>
        <v>0</v>
      </c>
      <c r="N45" s="332"/>
      <c r="O45" s="330"/>
      <c r="P45" s="349">
        <f t="shared" si="4"/>
        <v>0</v>
      </c>
      <c r="Q45" s="352">
        <f>'Корректировка тарифа'!I54</f>
        <v>0</v>
      </c>
      <c r="R45" s="348">
        <f>'Корректировка тарифа'!J54</f>
        <v>0</v>
      </c>
      <c r="S45" s="349">
        <f t="shared" si="5"/>
        <v>0</v>
      </c>
      <c r="T45" s="448">
        <f t="shared" si="8"/>
        <v>0</v>
      </c>
      <c r="U45" s="448">
        <f t="shared" si="6"/>
        <v>0</v>
      </c>
    </row>
    <row r="46" spans="2:21" ht="18" hidden="1" customHeight="1" outlineLevel="1" thickBot="1" x14ac:dyDescent="0.3">
      <c r="B46" s="301"/>
      <c r="C46" s="311" t="s">
        <v>79</v>
      </c>
      <c r="D46" s="326" t="s">
        <v>44</v>
      </c>
      <c r="E46" s="332"/>
      <c r="F46" s="330"/>
      <c r="G46" s="349">
        <f t="shared" si="7"/>
        <v>0</v>
      </c>
      <c r="H46" s="332"/>
      <c r="I46" s="330"/>
      <c r="J46" s="349">
        <f t="shared" si="2"/>
        <v>0</v>
      </c>
      <c r="K46" s="332"/>
      <c r="L46" s="330"/>
      <c r="M46" s="349">
        <f t="shared" si="3"/>
        <v>0</v>
      </c>
      <c r="N46" s="332"/>
      <c r="O46" s="330"/>
      <c r="P46" s="349">
        <f t="shared" si="4"/>
        <v>0</v>
      </c>
      <c r="Q46" s="352">
        <f>'Корректировка тарифа'!I55</f>
        <v>0</v>
      </c>
      <c r="R46" s="348">
        <f>'Корректировка тарифа'!J55</f>
        <v>0</v>
      </c>
      <c r="S46" s="349">
        <f t="shared" si="5"/>
        <v>0</v>
      </c>
      <c r="T46" s="448">
        <f t="shared" si="8"/>
        <v>0</v>
      </c>
      <c r="U46" s="448">
        <f t="shared" si="6"/>
        <v>0</v>
      </c>
    </row>
    <row r="47" spans="2:21" ht="18" hidden="1" customHeight="1" outlineLevel="1" thickBot="1" x14ac:dyDescent="0.3">
      <c r="B47" s="777" t="s">
        <v>80</v>
      </c>
      <c r="C47" s="778" t="s">
        <v>81</v>
      </c>
      <c r="D47" s="325" t="s">
        <v>46</v>
      </c>
      <c r="E47" s="332"/>
      <c r="F47" s="330"/>
      <c r="G47" s="349">
        <f t="shared" si="7"/>
        <v>0</v>
      </c>
      <c r="H47" s="332"/>
      <c r="I47" s="330"/>
      <c r="J47" s="349">
        <f t="shared" si="2"/>
        <v>0</v>
      </c>
      <c r="K47" s="332"/>
      <c r="L47" s="330"/>
      <c r="M47" s="349">
        <f t="shared" si="3"/>
        <v>0</v>
      </c>
      <c r="N47" s="332"/>
      <c r="O47" s="330"/>
      <c r="P47" s="349">
        <f t="shared" si="4"/>
        <v>0</v>
      </c>
      <c r="Q47" s="352">
        <f>'Корректировка тарифа'!I56</f>
        <v>0</v>
      </c>
      <c r="R47" s="348">
        <f>'Корректировка тарифа'!J56</f>
        <v>0</v>
      </c>
      <c r="S47" s="349">
        <f t="shared" si="5"/>
        <v>0</v>
      </c>
      <c r="T47" s="448">
        <f t="shared" si="8"/>
        <v>0</v>
      </c>
      <c r="U47" s="448">
        <f t="shared" si="6"/>
        <v>0</v>
      </c>
    </row>
    <row r="48" spans="2:21" ht="18" hidden="1" customHeight="1" outlineLevel="1" thickBot="1" x14ac:dyDescent="0.3">
      <c r="B48" s="777"/>
      <c r="C48" s="778"/>
      <c r="D48" s="325" t="s">
        <v>31</v>
      </c>
      <c r="E48" s="332"/>
      <c r="F48" s="330"/>
      <c r="G48" s="349">
        <f t="shared" si="7"/>
        <v>0</v>
      </c>
      <c r="H48" s="332"/>
      <c r="I48" s="330"/>
      <c r="J48" s="349">
        <f t="shared" si="2"/>
        <v>0</v>
      </c>
      <c r="K48" s="332"/>
      <c r="L48" s="330"/>
      <c r="M48" s="349">
        <f t="shared" si="3"/>
        <v>0</v>
      </c>
      <c r="N48" s="332"/>
      <c r="O48" s="330"/>
      <c r="P48" s="349">
        <f t="shared" si="4"/>
        <v>0</v>
      </c>
      <c r="Q48" s="352">
        <f>'Корректировка тарифа'!I57</f>
        <v>0</v>
      </c>
      <c r="R48" s="348">
        <f>'Корректировка тарифа'!J57</f>
        <v>0</v>
      </c>
      <c r="S48" s="349">
        <f t="shared" si="5"/>
        <v>0</v>
      </c>
      <c r="T48" s="448">
        <f t="shared" si="8"/>
        <v>0</v>
      </c>
      <c r="U48" s="448">
        <f t="shared" si="6"/>
        <v>0</v>
      </c>
    </row>
    <row r="49" spans="2:22" ht="18" hidden="1" customHeight="1" outlineLevel="1" thickBot="1" x14ac:dyDescent="0.3">
      <c r="B49" s="309" t="s">
        <v>82</v>
      </c>
      <c r="C49" s="310" t="s">
        <v>83</v>
      </c>
      <c r="D49" s="325" t="s">
        <v>31</v>
      </c>
      <c r="E49" s="332"/>
      <c r="F49" s="330"/>
      <c r="G49" s="349">
        <f t="shared" si="7"/>
        <v>0</v>
      </c>
      <c r="H49" s="332"/>
      <c r="I49" s="330"/>
      <c r="J49" s="349">
        <f t="shared" si="2"/>
        <v>0</v>
      </c>
      <c r="K49" s="332"/>
      <c r="L49" s="330"/>
      <c r="M49" s="349">
        <f t="shared" si="3"/>
        <v>0</v>
      </c>
      <c r="N49" s="332"/>
      <c r="O49" s="330"/>
      <c r="P49" s="349">
        <f t="shared" si="4"/>
        <v>0</v>
      </c>
      <c r="Q49" s="352">
        <f>'Корректировка тарифа'!I58</f>
        <v>0</v>
      </c>
      <c r="R49" s="348">
        <f>'Корректировка тарифа'!J58</f>
        <v>0</v>
      </c>
      <c r="S49" s="349">
        <f t="shared" si="5"/>
        <v>0</v>
      </c>
      <c r="T49" s="448">
        <f t="shared" si="8"/>
        <v>0</v>
      </c>
      <c r="U49" s="448">
        <f t="shared" si="6"/>
        <v>0</v>
      </c>
    </row>
    <row r="50" spans="2:22" ht="18" hidden="1" customHeight="1" outlineLevel="1" thickBot="1" x14ac:dyDescent="0.3">
      <c r="B50" s="301" t="s">
        <v>84</v>
      </c>
      <c r="C50" s="310" t="s">
        <v>85</v>
      </c>
      <c r="D50" s="325" t="s">
        <v>31</v>
      </c>
      <c r="E50" s="332"/>
      <c r="F50" s="330"/>
      <c r="G50" s="349">
        <f t="shared" si="7"/>
        <v>0</v>
      </c>
      <c r="H50" s="332"/>
      <c r="I50" s="330"/>
      <c r="J50" s="349">
        <f t="shared" si="2"/>
        <v>0</v>
      </c>
      <c r="K50" s="332"/>
      <c r="L50" s="330"/>
      <c r="M50" s="349">
        <f t="shared" si="3"/>
        <v>0</v>
      </c>
      <c r="N50" s="332"/>
      <c r="O50" s="330"/>
      <c r="P50" s="349">
        <f t="shared" si="4"/>
        <v>0</v>
      </c>
      <c r="Q50" s="352">
        <f>'Корректировка тарифа'!I59</f>
        <v>0</v>
      </c>
      <c r="R50" s="348">
        <f>'Корректировка тарифа'!J59</f>
        <v>0</v>
      </c>
      <c r="S50" s="349">
        <f t="shared" si="5"/>
        <v>0</v>
      </c>
      <c r="T50" s="448">
        <f t="shared" si="8"/>
        <v>0</v>
      </c>
      <c r="U50" s="448">
        <f t="shared" si="6"/>
        <v>0</v>
      </c>
    </row>
    <row r="51" spans="2:22" ht="18" hidden="1" customHeight="1" outlineLevel="1" thickBot="1" x14ac:dyDescent="0.3">
      <c r="B51" s="301" t="s">
        <v>86</v>
      </c>
      <c r="C51" s="310" t="s">
        <v>87</v>
      </c>
      <c r="D51" s="325" t="s">
        <v>31</v>
      </c>
      <c r="E51" s="332"/>
      <c r="F51" s="330"/>
      <c r="G51" s="349">
        <f t="shared" si="7"/>
        <v>0</v>
      </c>
      <c r="H51" s="332"/>
      <c r="I51" s="330"/>
      <c r="J51" s="349">
        <f t="shared" si="2"/>
        <v>0</v>
      </c>
      <c r="K51" s="332"/>
      <c r="L51" s="330"/>
      <c r="M51" s="349">
        <f t="shared" si="3"/>
        <v>0</v>
      </c>
      <c r="N51" s="332"/>
      <c r="O51" s="330"/>
      <c r="P51" s="349">
        <f t="shared" si="4"/>
        <v>0</v>
      </c>
      <c r="Q51" s="352">
        <f>'Корректировка тарифа'!I60</f>
        <v>0</v>
      </c>
      <c r="R51" s="348">
        <f>'Корректировка тарифа'!J60</f>
        <v>0</v>
      </c>
      <c r="S51" s="349">
        <f t="shared" si="5"/>
        <v>0</v>
      </c>
      <c r="T51" s="448">
        <f t="shared" si="8"/>
        <v>0</v>
      </c>
      <c r="U51" s="448">
        <f t="shared" si="6"/>
        <v>0</v>
      </c>
    </row>
    <row r="52" spans="2:22" ht="18" hidden="1" customHeight="1" outlineLevel="1" thickBot="1" x14ac:dyDescent="0.3">
      <c r="B52" s="301" t="s">
        <v>88</v>
      </c>
      <c r="C52" s="310" t="s">
        <v>89</v>
      </c>
      <c r="D52" s="325" t="s">
        <v>31</v>
      </c>
      <c r="E52" s="332"/>
      <c r="F52" s="330"/>
      <c r="G52" s="349">
        <f t="shared" si="7"/>
        <v>0</v>
      </c>
      <c r="H52" s="332"/>
      <c r="I52" s="330"/>
      <c r="J52" s="349">
        <f t="shared" si="2"/>
        <v>0</v>
      </c>
      <c r="K52" s="332"/>
      <c r="L52" s="330"/>
      <c r="M52" s="349">
        <f t="shared" si="3"/>
        <v>0</v>
      </c>
      <c r="N52" s="332"/>
      <c r="O52" s="330"/>
      <c r="P52" s="349">
        <f t="shared" si="4"/>
        <v>0</v>
      </c>
      <c r="Q52" s="352">
        <f>'Корректировка тарифа'!I61</f>
        <v>0</v>
      </c>
      <c r="R52" s="348">
        <f>'Корректировка тарифа'!J61</f>
        <v>0</v>
      </c>
      <c r="S52" s="349">
        <f t="shared" si="5"/>
        <v>0</v>
      </c>
      <c r="T52" s="448">
        <f t="shared" si="8"/>
        <v>0</v>
      </c>
      <c r="U52" s="448">
        <f t="shared" si="6"/>
        <v>0</v>
      </c>
    </row>
    <row r="53" spans="2:22" ht="18" hidden="1" customHeight="1" outlineLevel="1" thickBot="1" x14ac:dyDescent="0.3">
      <c r="B53" s="301"/>
      <c r="C53" s="311" t="s">
        <v>90</v>
      </c>
      <c r="D53" s="326" t="s">
        <v>42</v>
      </c>
      <c r="E53" s="332"/>
      <c r="F53" s="330"/>
      <c r="G53" s="349">
        <f t="shared" si="7"/>
        <v>0</v>
      </c>
      <c r="H53" s="332"/>
      <c r="I53" s="330"/>
      <c r="J53" s="349">
        <f t="shared" si="2"/>
        <v>0</v>
      </c>
      <c r="K53" s="332"/>
      <c r="L53" s="330"/>
      <c r="M53" s="349">
        <f t="shared" si="3"/>
        <v>0</v>
      </c>
      <c r="N53" s="332"/>
      <c r="O53" s="330"/>
      <c r="P53" s="349">
        <f t="shared" si="4"/>
        <v>0</v>
      </c>
      <c r="Q53" s="352">
        <f>'Корректировка тарифа'!I62</f>
        <v>0</v>
      </c>
      <c r="R53" s="348">
        <f>'Корректировка тарифа'!J62</f>
        <v>0</v>
      </c>
      <c r="S53" s="349">
        <f t="shared" si="5"/>
        <v>0</v>
      </c>
      <c r="T53" s="448">
        <f t="shared" si="8"/>
        <v>0</v>
      </c>
      <c r="U53" s="448">
        <f t="shared" si="6"/>
        <v>0</v>
      </c>
    </row>
    <row r="54" spans="2:22" ht="18" hidden="1" customHeight="1" outlineLevel="1" thickBot="1" x14ac:dyDescent="0.3">
      <c r="B54" s="301"/>
      <c r="C54" s="311" t="s">
        <v>91</v>
      </c>
      <c r="D54" s="326" t="s">
        <v>44</v>
      </c>
      <c r="E54" s="332"/>
      <c r="F54" s="330"/>
      <c r="G54" s="349">
        <f t="shared" si="7"/>
        <v>0</v>
      </c>
      <c r="H54" s="332"/>
      <c r="I54" s="330"/>
      <c r="J54" s="349">
        <f t="shared" si="2"/>
        <v>0</v>
      </c>
      <c r="K54" s="332"/>
      <c r="L54" s="330"/>
      <c r="M54" s="349">
        <f t="shared" si="3"/>
        <v>0</v>
      </c>
      <c r="N54" s="332"/>
      <c r="O54" s="330"/>
      <c r="P54" s="349">
        <f t="shared" si="4"/>
        <v>0</v>
      </c>
      <c r="Q54" s="352">
        <f>'Корректировка тарифа'!I63</f>
        <v>0</v>
      </c>
      <c r="R54" s="348">
        <f>'Корректировка тарифа'!J63</f>
        <v>0</v>
      </c>
      <c r="S54" s="349">
        <f t="shared" si="5"/>
        <v>0</v>
      </c>
      <c r="T54" s="448">
        <f t="shared" si="8"/>
        <v>0</v>
      </c>
      <c r="U54" s="448">
        <f t="shared" si="6"/>
        <v>0</v>
      </c>
    </row>
    <row r="55" spans="2:22" ht="18" hidden="1" customHeight="1" outlineLevel="1" thickBot="1" x14ac:dyDescent="0.3">
      <c r="B55" s="777" t="s">
        <v>92</v>
      </c>
      <c r="C55" s="778" t="s">
        <v>93</v>
      </c>
      <c r="D55" s="325" t="s">
        <v>46</v>
      </c>
      <c r="E55" s="332"/>
      <c r="F55" s="330"/>
      <c r="G55" s="349">
        <f t="shared" si="7"/>
        <v>0</v>
      </c>
      <c r="H55" s="332"/>
      <c r="I55" s="330"/>
      <c r="J55" s="349">
        <f t="shared" si="2"/>
        <v>0</v>
      </c>
      <c r="K55" s="332"/>
      <c r="L55" s="330"/>
      <c r="M55" s="349">
        <f t="shared" si="3"/>
        <v>0</v>
      </c>
      <c r="N55" s="332"/>
      <c r="O55" s="330"/>
      <c r="P55" s="349">
        <f t="shared" si="4"/>
        <v>0</v>
      </c>
      <c r="Q55" s="352">
        <f>'Корректировка тарифа'!I64</f>
        <v>0</v>
      </c>
      <c r="R55" s="348">
        <f>'Корректировка тарифа'!J64</f>
        <v>0</v>
      </c>
      <c r="S55" s="349">
        <f t="shared" si="5"/>
        <v>0</v>
      </c>
      <c r="T55" s="448">
        <f t="shared" si="8"/>
        <v>0</v>
      </c>
      <c r="U55" s="448">
        <f t="shared" si="6"/>
        <v>0</v>
      </c>
    </row>
    <row r="56" spans="2:22" ht="18" hidden="1" customHeight="1" outlineLevel="1" thickBot="1" x14ac:dyDescent="0.3">
      <c r="B56" s="777"/>
      <c r="C56" s="778"/>
      <c r="D56" s="325" t="s">
        <v>31</v>
      </c>
      <c r="E56" s="332"/>
      <c r="F56" s="330"/>
      <c r="G56" s="349">
        <f t="shared" si="7"/>
        <v>0</v>
      </c>
      <c r="H56" s="332"/>
      <c r="I56" s="330"/>
      <c r="J56" s="349">
        <f t="shared" si="2"/>
        <v>0</v>
      </c>
      <c r="K56" s="332"/>
      <c r="L56" s="330"/>
      <c r="M56" s="349">
        <f t="shared" si="3"/>
        <v>0</v>
      </c>
      <c r="N56" s="332"/>
      <c r="O56" s="330"/>
      <c r="P56" s="349">
        <f t="shared" si="4"/>
        <v>0</v>
      </c>
      <c r="Q56" s="352">
        <f>'Корректировка тарифа'!I65</f>
        <v>0</v>
      </c>
      <c r="R56" s="348">
        <f>'Корректировка тарифа'!J65</f>
        <v>0</v>
      </c>
      <c r="S56" s="349">
        <f t="shared" si="5"/>
        <v>0</v>
      </c>
      <c r="T56" s="448">
        <f t="shared" si="8"/>
        <v>0</v>
      </c>
      <c r="U56" s="448">
        <f t="shared" si="6"/>
        <v>0</v>
      </c>
    </row>
    <row r="57" spans="2:22" ht="18" hidden="1" customHeight="1" outlineLevel="2" thickBot="1" x14ac:dyDescent="0.3">
      <c r="B57" s="301" t="s">
        <v>94</v>
      </c>
      <c r="C57" s="310" t="s">
        <v>95</v>
      </c>
      <c r="D57" s="325" t="s">
        <v>31</v>
      </c>
      <c r="E57" s="332"/>
      <c r="F57" s="330"/>
      <c r="G57" s="349">
        <f t="shared" si="7"/>
        <v>0</v>
      </c>
      <c r="H57" s="332"/>
      <c r="I57" s="330"/>
      <c r="J57" s="349">
        <f t="shared" si="2"/>
        <v>0</v>
      </c>
      <c r="K57" s="332"/>
      <c r="L57" s="330"/>
      <c r="M57" s="349">
        <f t="shared" si="3"/>
        <v>0</v>
      </c>
      <c r="N57" s="332"/>
      <c r="O57" s="330"/>
      <c r="P57" s="349">
        <f t="shared" si="4"/>
        <v>0</v>
      </c>
      <c r="Q57" s="352">
        <f>'Корректировка тарифа'!I66</f>
        <v>0</v>
      </c>
      <c r="R57" s="348">
        <f>'Корректировка тарифа'!J66</f>
        <v>0</v>
      </c>
      <c r="S57" s="349">
        <f t="shared" si="5"/>
        <v>0</v>
      </c>
      <c r="T57" s="448">
        <f t="shared" si="8"/>
        <v>0</v>
      </c>
      <c r="U57" s="448">
        <f t="shared" si="6"/>
        <v>0</v>
      </c>
    </row>
    <row r="58" spans="2:22" ht="18" hidden="1" customHeight="1" outlineLevel="2" thickBot="1" x14ac:dyDescent="0.3">
      <c r="B58" s="301" t="s">
        <v>96</v>
      </c>
      <c r="C58" s="310" t="s">
        <v>97</v>
      </c>
      <c r="D58" s="325" t="s">
        <v>31</v>
      </c>
      <c r="E58" s="332"/>
      <c r="F58" s="330"/>
      <c r="G58" s="349">
        <f t="shared" si="7"/>
        <v>0</v>
      </c>
      <c r="H58" s="332"/>
      <c r="I58" s="330"/>
      <c r="J58" s="349">
        <f t="shared" si="2"/>
        <v>0</v>
      </c>
      <c r="K58" s="332"/>
      <c r="L58" s="330"/>
      <c r="M58" s="349">
        <f t="shared" si="3"/>
        <v>0</v>
      </c>
      <c r="N58" s="332"/>
      <c r="O58" s="330"/>
      <c r="P58" s="349">
        <f t="shared" si="4"/>
        <v>0</v>
      </c>
      <c r="Q58" s="352">
        <f>'Корректировка тарифа'!I67</f>
        <v>0</v>
      </c>
      <c r="R58" s="348">
        <f>'Корректировка тарифа'!J67</f>
        <v>0</v>
      </c>
      <c r="S58" s="349">
        <f t="shared" si="5"/>
        <v>0</v>
      </c>
      <c r="T58" s="448">
        <f t="shared" si="8"/>
        <v>0</v>
      </c>
      <c r="U58" s="448">
        <f t="shared" si="6"/>
        <v>0</v>
      </c>
    </row>
    <row r="59" spans="2:22" ht="18" hidden="1" customHeight="1" outlineLevel="2" thickBot="1" x14ac:dyDescent="0.3">
      <c r="B59" s="301" t="s">
        <v>98</v>
      </c>
      <c r="C59" s="310" t="s">
        <v>99</v>
      </c>
      <c r="D59" s="325" t="s">
        <v>31</v>
      </c>
      <c r="E59" s="332"/>
      <c r="F59" s="330"/>
      <c r="G59" s="349">
        <f t="shared" si="7"/>
        <v>0</v>
      </c>
      <c r="H59" s="332"/>
      <c r="I59" s="330"/>
      <c r="J59" s="349">
        <f t="shared" si="2"/>
        <v>0</v>
      </c>
      <c r="K59" s="332"/>
      <c r="L59" s="330"/>
      <c r="M59" s="349">
        <f t="shared" si="3"/>
        <v>0</v>
      </c>
      <c r="N59" s="332"/>
      <c r="O59" s="330"/>
      <c r="P59" s="349">
        <f t="shared" si="4"/>
        <v>0</v>
      </c>
      <c r="Q59" s="352">
        <f>'Корректировка тарифа'!I68</f>
        <v>0</v>
      </c>
      <c r="R59" s="348">
        <f>'Корректировка тарифа'!J68</f>
        <v>0</v>
      </c>
      <c r="S59" s="349">
        <f t="shared" si="5"/>
        <v>0</v>
      </c>
      <c r="T59" s="448">
        <f t="shared" si="8"/>
        <v>0</v>
      </c>
      <c r="U59" s="448">
        <f t="shared" si="6"/>
        <v>0</v>
      </c>
    </row>
    <row r="60" spans="2:22" ht="18" hidden="1" customHeight="1" outlineLevel="2" thickBot="1" x14ac:dyDescent="0.3">
      <c r="B60" s="301" t="s">
        <v>100</v>
      </c>
      <c r="C60" s="310" t="s">
        <v>101</v>
      </c>
      <c r="D60" s="325" t="s">
        <v>31</v>
      </c>
      <c r="E60" s="332"/>
      <c r="F60" s="330"/>
      <c r="G60" s="349">
        <f t="shared" si="7"/>
        <v>0</v>
      </c>
      <c r="H60" s="332"/>
      <c r="I60" s="330"/>
      <c r="J60" s="349">
        <f t="shared" si="2"/>
        <v>0</v>
      </c>
      <c r="K60" s="332"/>
      <c r="L60" s="330"/>
      <c r="M60" s="349">
        <f t="shared" si="3"/>
        <v>0</v>
      </c>
      <c r="N60" s="332"/>
      <c r="O60" s="330"/>
      <c r="P60" s="349">
        <f t="shared" si="4"/>
        <v>0</v>
      </c>
      <c r="Q60" s="352">
        <f>'Корректировка тарифа'!I69</f>
        <v>0</v>
      </c>
      <c r="R60" s="348">
        <f>'Корректировка тарифа'!J69</f>
        <v>0</v>
      </c>
      <c r="S60" s="349">
        <f t="shared" si="5"/>
        <v>0</v>
      </c>
      <c r="T60" s="448">
        <f t="shared" si="8"/>
        <v>0</v>
      </c>
      <c r="U60" s="448">
        <f t="shared" si="6"/>
        <v>0</v>
      </c>
    </row>
    <row r="61" spans="2:22" ht="18" hidden="1" customHeight="1" outlineLevel="2" thickBot="1" x14ac:dyDescent="0.3">
      <c r="B61" s="301" t="s">
        <v>102</v>
      </c>
      <c r="C61" s="310" t="s">
        <v>103</v>
      </c>
      <c r="D61" s="325" t="s">
        <v>31</v>
      </c>
      <c r="E61" s="332"/>
      <c r="F61" s="330"/>
      <c r="G61" s="349">
        <f t="shared" si="7"/>
        <v>0</v>
      </c>
      <c r="H61" s="332"/>
      <c r="I61" s="330"/>
      <c r="J61" s="349">
        <f t="shared" si="2"/>
        <v>0</v>
      </c>
      <c r="K61" s="332"/>
      <c r="L61" s="330"/>
      <c r="M61" s="349">
        <f t="shared" si="3"/>
        <v>0</v>
      </c>
      <c r="N61" s="332"/>
      <c r="O61" s="330"/>
      <c r="P61" s="349">
        <f t="shared" si="4"/>
        <v>0</v>
      </c>
      <c r="Q61" s="352">
        <f>'Корректировка тарифа'!I70</f>
        <v>0</v>
      </c>
      <c r="R61" s="348">
        <f>'Корректировка тарифа'!J70</f>
        <v>0</v>
      </c>
      <c r="S61" s="349">
        <f t="shared" si="5"/>
        <v>0</v>
      </c>
      <c r="T61" s="448">
        <f t="shared" si="8"/>
        <v>0</v>
      </c>
      <c r="U61" s="448">
        <f t="shared" si="6"/>
        <v>0</v>
      </c>
    </row>
    <row r="62" spans="2:22" ht="18" hidden="1" customHeight="1" outlineLevel="2" thickBot="1" x14ac:dyDescent="0.3">
      <c r="B62" s="309" t="s">
        <v>104</v>
      </c>
      <c r="C62" s="310" t="s">
        <v>105</v>
      </c>
      <c r="D62" s="325" t="s">
        <v>31</v>
      </c>
      <c r="E62" s="332"/>
      <c r="F62" s="330"/>
      <c r="G62" s="349">
        <f t="shared" si="7"/>
        <v>0</v>
      </c>
      <c r="H62" s="332"/>
      <c r="I62" s="330"/>
      <c r="J62" s="349">
        <f t="shared" si="2"/>
        <v>0</v>
      </c>
      <c r="K62" s="332"/>
      <c r="L62" s="330"/>
      <c r="M62" s="349">
        <f t="shared" si="3"/>
        <v>0</v>
      </c>
      <c r="N62" s="332"/>
      <c r="O62" s="330"/>
      <c r="P62" s="349">
        <f t="shared" si="4"/>
        <v>0</v>
      </c>
      <c r="Q62" s="352">
        <f>'Корректировка тарифа'!I71</f>
        <v>0</v>
      </c>
      <c r="R62" s="348">
        <f>'Корректировка тарифа'!J71</f>
        <v>0</v>
      </c>
      <c r="S62" s="349">
        <f t="shared" si="5"/>
        <v>0</v>
      </c>
      <c r="T62" s="448">
        <f t="shared" si="8"/>
        <v>0</v>
      </c>
      <c r="U62" s="448">
        <f t="shared" si="6"/>
        <v>0</v>
      </c>
    </row>
    <row r="63" spans="2:22" ht="18" hidden="1" customHeight="1" outlineLevel="2" thickBot="1" x14ac:dyDescent="0.3">
      <c r="B63" s="301" t="s">
        <v>106</v>
      </c>
      <c r="C63" s="310" t="s">
        <v>107</v>
      </c>
      <c r="D63" s="325" t="s">
        <v>31</v>
      </c>
      <c r="E63" s="332"/>
      <c r="F63" s="330"/>
      <c r="G63" s="349">
        <f t="shared" si="7"/>
        <v>0</v>
      </c>
      <c r="H63" s="332"/>
      <c r="I63" s="330"/>
      <c r="J63" s="349">
        <f t="shared" si="2"/>
        <v>0</v>
      </c>
      <c r="K63" s="332"/>
      <c r="L63" s="330"/>
      <c r="M63" s="349">
        <f t="shared" si="3"/>
        <v>0</v>
      </c>
      <c r="N63" s="332"/>
      <c r="O63" s="330"/>
      <c r="P63" s="349">
        <f t="shared" si="4"/>
        <v>0</v>
      </c>
      <c r="Q63" s="352">
        <f>'Корректировка тарифа'!I72</f>
        <v>0</v>
      </c>
      <c r="R63" s="348">
        <f>'Корректировка тарифа'!J72</f>
        <v>0</v>
      </c>
      <c r="S63" s="349">
        <f t="shared" si="5"/>
        <v>0</v>
      </c>
      <c r="T63" s="448">
        <f t="shared" si="8"/>
        <v>0</v>
      </c>
      <c r="U63" s="448">
        <f t="shared" si="6"/>
        <v>0</v>
      </c>
    </row>
    <row r="64" spans="2:22" ht="18" customHeight="1" collapsed="1" x14ac:dyDescent="0.25">
      <c r="B64" s="312" t="s">
        <v>108</v>
      </c>
      <c r="C64" s="313" t="s">
        <v>109</v>
      </c>
      <c r="D64" s="327" t="s">
        <v>31</v>
      </c>
      <c r="E64" s="332"/>
      <c r="F64" s="330"/>
      <c r="G64" s="349">
        <f t="shared" si="7"/>
        <v>0</v>
      </c>
      <c r="H64" s="332"/>
      <c r="I64" s="330"/>
      <c r="J64" s="349">
        <f t="shared" si="2"/>
        <v>0</v>
      </c>
      <c r="K64" s="332"/>
      <c r="L64" s="330"/>
      <c r="M64" s="349">
        <f t="shared" si="3"/>
        <v>0</v>
      </c>
      <c r="N64" s="332">
        <v>36.008046153846152</v>
      </c>
      <c r="O64" s="330">
        <v>8.930829985747998</v>
      </c>
      <c r="P64" s="349">
        <f t="shared" si="4"/>
        <v>27.077216168098154</v>
      </c>
      <c r="Q64" s="352">
        <f>'Корректировка тарифа'!I73</f>
        <v>39.487969230769224</v>
      </c>
      <c r="R64" s="348">
        <f>'Корректировка тарифа'!J73</f>
        <v>8.3097500010999994</v>
      </c>
      <c r="S64" s="349">
        <f t="shared" si="5"/>
        <v>31.178219229669224</v>
      </c>
      <c r="T64" s="448">
        <f t="shared" si="8"/>
        <v>75.496015384615376</v>
      </c>
      <c r="U64" s="448">
        <f t="shared" si="6"/>
        <v>17.240579986847997</v>
      </c>
      <c r="V64" s="448">
        <f t="shared" ref="V64:V127" si="9">U64-T64</f>
        <v>-58.255435397767378</v>
      </c>
    </row>
    <row r="65" spans="2:22" ht="18" hidden="1" customHeight="1" outlineLevel="2" x14ac:dyDescent="0.25">
      <c r="B65" s="309"/>
      <c r="C65" s="310" t="s">
        <v>120</v>
      </c>
      <c r="D65" s="325" t="s">
        <v>31</v>
      </c>
      <c r="E65" s="332"/>
      <c r="F65" s="330"/>
      <c r="G65" s="349">
        <f t="shared" ref="G65:G127" si="10">E65-F65</f>
        <v>0</v>
      </c>
      <c r="H65" s="332"/>
      <c r="I65" s="330"/>
      <c r="J65" s="349">
        <f t="shared" si="2"/>
        <v>0</v>
      </c>
      <c r="K65" s="332"/>
      <c r="L65" s="330"/>
      <c r="M65" s="349">
        <f t="shared" si="3"/>
        <v>0</v>
      </c>
      <c r="N65" s="332">
        <v>36.008046153846152</v>
      </c>
      <c r="O65" s="330">
        <v>8.930829985747998</v>
      </c>
      <c r="P65" s="349">
        <f t="shared" si="4"/>
        <v>27.077216168098154</v>
      </c>
      <c r="Q65" s="352">
        <f>'Корректировка тарифа'!I74</f>
        <v>39.487969230769224</v>
      </c>
      <c r="R65" s="348">
        <f>'Корректировка тарифа'!J74</f>
        <v>8.3097500010999994</v>
      </c>
      <c r="S65" s="349">
        <f t="shared" si="5"/>
        <v>31.178219229669224</v>
      </c>
      <c r="T65" s="448">
        <f t="shared" si="8"/>
        <v>75.496015384615376</v>
      </c>
      <c r="U65" s="448">
        <f t="shared" si="6"/>
        <v>17.240579986847997</v>
      </c>
      <c r="V65" s="448">
        <f t="shared" si="9"/>
        <v>-58.255435397767378</v>
      </c>
    </row>
    <row r="66" spans="2:22" ht="18" hidden="1" customHeight="1" outlineLevel="2" x14ac:dyDescent="0.25">
      <c r="B66" s="309"/>
      <c r="C66" s="314" t="s">
        <v>122</v>
      </c>
      <c r="D66" s="322" t="s">
        <v>123</v>
      </c>
      <c r="E66" s="332"/>
      <c r="F66" s="330"/>
      <c r="G66" s="349">
        <f t="shared" si="10"/>
        <v>0</v>
      </c>
      <c r="H66" s="332"/>
      <c r="I66" s="330"/>
      <c r="J66" s="349">
        <f t="shared" si="2"/>
        <v>0</v>
      </c>
      <c r="K66" s="332"/>
      <c r="L66" s="330"/>
      <c r="M66" s="349">
        <f t="shared" si="3"/>
        <v>0</v>
      </c>
      <c r="N66" s="332">
        <v>36.008046153846152</v>
      </c>
      <c r="O66" s="330">
        <v>8.930829985747998</v>
      </c>
      <c r="P66" s="349">
        <f t="shared" si="4"/>
        <v>27.077216168098154</v>
      </c>
      <c r="Q66" s="352">
        <f>'Корректировка тарифа'!I75</f>
        <v>39.487969230769224</v>
      </c>
      <c r="R66" s="348">
        <f>'Корректировка тарифа'!J75</f>
        <v>8.3097500010999994</v>
      </c>
      <c r="S66" s="349">
        <f t="shared" si="5"/>
        <v>31.178219229669224</v>
      </c>
      <c r="T66" s="448">
        <f t="shared" si="8"/>
        <v>75.496015384615376</v>
      </c>
      <c r="U66" s="448">
        <f t="shared" si="6"/>
        <v>17.240579986847997</v>
      </c>
      <c r="V66" s="448">
        <f t="shared" si="9"/>
        <v>-58.255435397767378</v>
      </c>
    </row>
    <row r="67" spans="2:22" ht="18" hidden="1" customHeight="1" outlineLevel="2" x14ac:dyDescent="0.25">
      <c r="B67" s="309"/>
      <c r="C67" s="314" t="s">
        <v>124</v>
      </c>
      <c r="D67" s="328" t="s">
        <v>125</v>
      </c>
      <c r="E67" s="332"/>
      <c r="F67" s="330"/>
      <c r="G67" s="349">
        <f t="shared" si="10"/>
        <v>0</v>
      </c>
      <c r="H67" s="332"/>
      <c r="I67" s="330"/>
      <c r="J67" s="349">
        <f t="shared" si="2"/>
        <v>0</v>
      </c>
      <c r="K67" s="332"/>
      <c r="L67" s="330"/>
      <c r="M67" s="349">
        <f t="shared" si="3"/>
        <v>0</v>
      </c>
      <c r="N67" s="332">
        <v>3.6630769230769227</v>
      </c>
      <c r="O67" s="330">
        <v>0.92762</v>
      </c>
      <c r="P67" s="349">
        <f t="shared" si="4"/>
        <v>2.7354569230769226</v>
      </c>
      <c r="Q67" s="352">
        <f>'Корректировка тарифа'!I76</f>
        <v>3.6630769230769227</v>
      </c>
      <c r="R67" s="348">
        <f>'Корректировка тарифа'!J76</f>
        <v>0.79</v>
      </c>
      <c r="S67" s="349">
        <f t="shared" si="5"/>
        <v>2.8730769230769226</v>
      </c>
      <c r="T67" s="448">
        <f t="shared" si="8"/>
        <v>7.3261538461538454</v>
      </c>
      <c r="U67" s="448">
        <f t="shared" si="6"/>
        <v>1.7176200000000001</v>
      </c>
      <c r="V67" s="448">
        <f t="shared" si="9"/>
        <v>-5.6085338461538452</v>
      </c>
    </row>
    <row r="68" spans="2:22" ht="18" hidden="1" customHeight="1" outlineLevel="2" x14ac:dyDescent="0.25">
      <c r="B68" s="309"/>
      <c r="C68" s="314" t="s">
        <v>126</v>
      </c>
      <c r="D68" s="328" t="s">
        <v>125</v>
      </c>
      <c r="E68" s="332"/>
      <c r="F68" s="330"/>
      <c r="G68" s="349">
        <f t="shared" si="10"/>
        <v>0</v>
      </c>
      <c r="H68" s="332"/>
      <c r="I68" s="330"/>
      <c r="J68" s="349">
        <f t="shared" si="2"/>
        <v>0</v>
      </c>
      <c r="K68" s="332"/>
      <c r="L68" s="330"/>
      <c r="M68" s="349">
        <f t="shared" si="3"/>
        <v>0</v>
      </c>
      <c r="N68" s="332"/>
      <c r="O68" s="330"/>
      <c r="P68" s="349">
        <f t="shared" si="4"/>
        <v>0</v>
      </c>
      <c r="Q68" s="352">
        <f>'Корректировка тарифа'!I77</f>
        <v>0</v>
      </c>
      <c r="R68" s="348">
        <f>'Корректировка тарифа'!J77</f>
        <v>0</v>
      </c>
      <c r="S68" s="349">
        <f t="shared" si="5"/>
        <v>0</v>
      </c>
      <c r="T68" s="448">
        <f t="shared" si="8"/>
        <v>0</v>
      </c>
      <c r="U68" s="448">
        <f t="shared" si="6"/>
        <v>0</v>
      </c>
      <c r="V68" s="448">
        <f t="shared" si="9"/>
        <v>0</v>
      </c>
    </row>
    <row r="69" spans="2:22" ht="18" hidden="1" customHeight="1" outlineLevel="2" x14ac:dyDescent="0.25">
      <c r="B69" s="309"/>
      <c r="C69" s="314" t="s">
        <v>127</v>
      </c>
      <c r="D69" s="328" t="s">
        <v>128</v>
      </c>
      <c r="E69" s="332"/>
      <c r="F69" s="330"/>
      <c r="G69" s="349">
        <f t="shared" si="10"/>
        <v>0</v>
      </c>
      <c r="H69" s="332"/>
      <c r="I69" s="330"/>
      <c r="J69" s="349">
        <f t="shared" si="2"/>
        <v>0</v>
      </c>
      <c r="K69" s="332"/>
      <c r="L69" s="330"/>
      <c r="M69" s="349">
        <f t="shared" si="3"/>
        <v>0</v>
      </c>
      <c r="N69" s="332">
        <v>9.83</v>
      </c>
      <c r="O69" s="330">
        <v>9.6276815783920124</v>
      </c>
      <c r="P69" s="349">
        <f t="shared" si="4"/>
        <v>0.20231842160798763</v>
      </c>
      <c r="Q69" s="352">
        <f>'Корректировка тарифа'!I78</f>
        <v>10.78</v>
      </c>
      <c r="R69" s="348">
        <f>'Корректировка тарифа'!J78</f>
        <v>10.518670887468353</v>
      </c>
      <c r="S69" s="349">
        <f t="shared" si="5"/>
        <v>0.26132911253164615</v>
      </c>
      <c r="T69" s="448">
        <f t="shared" si="8"/>
        <v>20.61</v>
      </c>
      <c r="U69" s="448">
        <f t="shared" si="6"/>
        <v>20.146352465860367</v>
      </c>
      <c r="V69" s="448">
        <f t="shared" si="9"/>
        <v>-0.463647534139632</v>
      </c>
    </row>
    <row r="70" spans="2:22" ht="18" hidden="1" customHeight="1" outlineLevel="2" x14ac:dyDescent="0.25">
      <c r="B70" s="309"/>
      <c r="C70" s="314" t="s">
        <v>129</v>
      </c>
      <c r="D70" s="328"/>
      <c r="E70" s="332"/>
      <c r="F70" s="330"/>
      <c r="G70" s="349">
        <f t="shared" si="10"/>
        <v>0</v>
      </c>
      <c r="H70" s="332"/>
      <c r="I70" s="330"/>
      <c r="J70" s="349">
        <f t="shared" si="2"/>
        <v>0</v>
      </c>
      <c r="K70" s="332"/>
      <c r="L70" s="330"/>
      <c r="M70" s="349">
        <f t="shared" si="3"/>
        <v>0</v>
      </c>
      <c r="N70" s="332"/>
      <c r="O70" s="330"/>
      <c r="P70" s="349">
        <f t="shared" si="4"/>
        <v>0</v>
      </c>
      <c r="Q70" s="352">
        <f>'Корректировка тарифа'!I79</f>
        <v>0</v>
      </c>
      <c r="R70" s="348">
        <f>'Корректировка тарифа'!J79</f>
        <v>0</v>
      </c>
      <c r="S70" s="349">
        <f t="shared" si="5"/>
        <v>0</v>
      </c>
      <c r="T70" s="448">
        <f t="shared" si="8"/>
        <v>0</v>
      </c>
      <c r="U70" s="448">
        <f t="shared" si="6"/>
        <v>0</v>
      </c>
      <c r="V70" s="448">
        <f t="shared" si="9"/>
        <v>0</v>
      </c>
    </row>
    <row r="71" spans="2:22" ht="18" hidden="1" customHeight="1" outlineLevel="2" x14ac:dyDescent="0.25">
      <c r="B71" s="309"/>
      <c r="C71" s="314" t="s">
        <v>130</v>
      </c>
      <c r="D71" s="328" t="s">
        <v>131</v>
      </c>
      <c r="E71" s="332"/>
      <c r="F71" s="330"/>
      <c r="G71" s="349">
        <f t="shared" si="10"/>
        <v>0</v>
      </c>
      <c r="H71" s="332"/>
      <c r="I71" s="330"/>
      <c r="J71" s="349">
        <f t="shared" si="2"/>
        <v>0</v>
      </c>
      <c r="K71" s="332"/>
      <c r="L71" s="330"/>
      <c r="M71" s="349">
        <f t="shared" si="3"/>
        <v>0</v>
      </c>
      <c r="N71" s="332"/>
      <c r="O71" s="330"/>
      <c r="P71" s="349">
        <f t="shared" si="4"/>
        <v>0</v>
      </c>
      <c r="Q71" s="352">
        <f>'Корректировка тарифа'!I80</f>
        <v>0</v>
      </c>
      <c r="R71" s="348">
        <f>'Корректировка тарифа'!J80</f>
        <v>0</v>
      </c>
      <c r="S71" s="349">
        <f t="shared" si="5"/>
        <v>0</v>
      </c>
      <c r="T71" s="448">
        <f t="shared" si="8"/>
        <v>0</v>
      </c>
      <c r="U71" s="448">
        <f t="shared" si="6"/>
        <v>0</v>
      </c>
      <c r="V71" s="448">
        <f t="shared" si="9"/>
        <v>0</v>
      </c>
    </row>
    <row r="72" spans="2:22" ht="18" hidden="1" customHeight="1" outlineLevel="2" x14ac:dyDescent="0.25">
      <c r="B72" s="309"/>
      <c r="C72" s="314" t="s">
        <v>132</v>
      </c>
      <c r="D72" s="328" t="s">
        <v>128</v>
      </c>
      <c r="E72" s="332"/>
      <c r="F72" s="330"/>
      <c r="G72" s="349">
        <f t="shared" si="10"/>
        <v>0</v>
      </c>
      <c r="H72" s="332"/>
      <c r="I72" s="330"/>
      <c r="J72" s="349">
        <f t="shared" ref="J72:J135" si="11">H72-I72</f>
        <v>0</v>
      </c>
      <c r="K72" s="332"/>
      <c r="L72" s="330"/>
      <c r="M72" s="349">
        <f t="shared" ref="M72:M135" si="12">K72-L72</f>
        <v>0</v>
      </c>
      <c r="N72" s="332"/>
      <c r="O72" s="330"/>
      <c r="P72" s="349">
        <f t="shared" ref="P72:P135" si="13">N72-O72</f>
        <v>0</v>
      </c>
      <c r="Q72" s="352">
        <f>'Корректировка тарифа'!I81</f>
        <v>0</v>
      </c>
      <c r="R72" s="348">
        <f>'Корректировка тарифа'!J81</f>
        <v>0</v>
      </c>
      <c r="S72" s="349">
        <f t="shared" ref="S72:S135" si="14">Q72-R72</f>
        <v>0</v>
      </c>
      <c r="T72" s="448">
        <f t="shared" si="8"/>
        <v>0</v>
      </c>
      <c r="U72" s="448">
        <f t="shared" si="6"/>
        <v>0</v>
      </c>
      <c r="V72" s="448">
        <f t="shared" si="9"/>
        <v>0</v>
      </c>
    </row>
    <row r="73" spans="2:22" ht="18" hidden="1" customHeight="1" outlineLevel="2" x14ac:dyDescent="0.25">
      <c r="B73" s="309"/>
      <c r="C73" s="314" t="s">
        <v>133</v>
      </c>
      <c r="D73" s="322" t="s">
        <v>123</v>
      </c>
      <c r="E73" s="332"/>
      <c r="F73" s="330"/>
      <c r="G73" s="349">
        <f t="shared" si="10"/>
        <v>0</v>
      </c>
      <c r="H73" s="332"/>
      <c r="I73" s="330"/>
      <c r="J73" s="349">
        <f t="shared" si="11"/>
        <v>0</v>
      </c>
      <c r="K73" s="332"/>
      <c r="L73" s="330"/>
      <c r="M73" s="349">
        <f t="shared" si="12"/>
        <v>0</v>
      </c>
      <c r="N73" s="332"/>
      <c r="O73" s="330"/>
      <c r="P73" s="349">
        <f t="shared" si="13"/>
        <v>0</v>
      </c>
      <c r="Q73" s="352">
        <f>'Корректировка тарифа'!I82</f>
        <v>0</v>
      </c>
      <c r="R73" s="348">
        <f>'Корректировка тарифа'!J82</f>
        <v>0</v>
      </c>
      <c r="S73" s="349">
        <f t="shared" si="14"/>
        <v>0</v>
      </c>
      <c r="T73" s="448">
        <f t="shared" si="8"/>
        <v>0</v>
      </c>
      <c r="U73" s="448">
        <f t="shared" si="6"/>
        <v>0</v>
      </c>
      <c r="V73" s="448">
        <f t="shared" si="9"/>
        <v>0</v>
      </c>
    </row>
    <row r="74" spans="2:22" ht="18" hidden="1" customHeight="1" outlineLevel="2" x14ac:dyDescent="0.25">
      <c r="B74" s="309"/>
      <c r="C74" s="314" t="s">
        <v>124</v>
      </c>
      <c r="D74" s="328" t="s">
        <v>125</v>
      </c>
      <c r="E74" s="332"/>
      <c r="F74" s="330"/>
      <c r="G74" s="349">
        <f t="shared" si="10"/>
        <v>0</v>
      </c>
      <c r="H74" s="332"/>
      <c r="I74" s="330"/>
      <c r="J74" s="349">
        <f t="shared" si="11"/>
        <v>0</v>
      </c>
      <c r="K74" s="332"/>
      <c r="L74" s="330"/>
      <c r="M74" s="349">
        <f t="shared" si="12"/>
        <v>0</v>
      </c>
      <c r="N74" s="332"/>
      <c r="O74" s="330"/>
      <c r="P74" s="349">
        <f t="shared" si="13"/>
        <v>0</v>
      </c>
      <c r="Q74" s="352">
        <f>'Корректировка тарифа'!I83</f>
        <v>0</v>
      </c>
      <c r="R74" s="348">
        <f>'Корректировка тарифа'!J83</f>
        <v>0</v>
      </c>
      <c r="S74" s="349">
        <f t="shared" si="14"/>
        <v>0</v>
      </c>
      <c r="T74" s="448">
        <f t="shared" si="8"/>
        <v>0</v>
      </c>
      <c r="U74" s="448">
        <f t="shared" si="6"/>
        <v>0</v>
      </c>
      <c r="V74" s="448">
        <f t="shared" si="9"/>
        <v>0</v>
      </c>
    </row>
    <row r="75" spans="2:22" ht="18" hidden="1" customHeight="1" outlineLevel="2" x14ac:dyDescent="0.25">
      <c r="B75" s="309"/>
      <c r="C75" s="314" t="s">
        <v>126</v>
      </c>
      <c r="D75" s="328" t="s">
        <v>125</v>
      </c>
      <c r="E75" s="332"/>
      <c r="F75" s="330"/>
      <c r="G75" s="349">
        <f t="shared" si="10"/>
        <v>0</v>
      </c>
      <c r="H75" s="332"/>
      <c r="I75" s="330"/>
      <c r="J75" s="349">
        <f t="shared" si="11"/>
        <v>0</v>
      </c>
      <c r="K75" s="332"/>
      <c r="L75" s="330"/>
      <c r="M75" s="349">
        <f t="shared" si="12"/>
        <v>0</v>
      </c>
      <c r="N75" s="332"/>
      <c r="O75" s="330"/>
      <c r="P75" s="349">
        <f t="shared" si="13"/>
        <v>0</v>
      </c>
      <c r="Q75" s="352">
        <f>'Корректировка тарифа'!I84</f>
        <v>0</v>
      </c>
      <c r="R75" s="348">
        <f>'Корректировка тарифа'!J84</f>
        <v>0</v>
      </c>
      <c r="S75" s="349">
        <f t="shared" si="14"/>
        <v>0</v>
      </c>
      <c r="T75" s="448">
        <f t="shared" si="8"/>
        <v>0</v>
      </c>
      <c r="U75" s="448">
        <f t="shared" si="6"/>
        <v>0</v>
      </c>
      <c r="V75" s="448">
        <f t="shared" si="9"/>
        <v>0</v>
      </c>
    </row>
    <row r="76" spans="2:22" ht="18" hidden="1" customHeight="1" outlineLevel="2" x14ac:dyDescent="0.25">
      <c r="B76" s="309"/>
      <c r="C76" s="314" t="s">
        <v>127</v>
      </c>
      <c r="D76" s="328" t="s">
        <v>128</v>
      </c>
      <c r="E76" s="332"/>
      <c r="F76" s="330"/>
      <c r="G76" s="349">
        <f t="shared" si="10"/>
        <v>0</v>
      </c>
      <c r="H76" s="332"/>
      <c r="I76" s="330"/>
      <c r="J76" s="349">
        <f t="shared" si="11"/>
        <v>0</v>
      </c>
      <c r="K76" s="332"/>
      <c r="L76" s="330"/>
      <c r="M76" s="349">
        <f t="shared" si="12"/>
        <v>0</v>
      </c>
      <c r="N76" s="332"/>
      <c r="O76" s="330"/>
      <c r="P76" s="349">
        <f t="shared" si="13"/>
        <v>0</v>
      </c>
      <c r="Q76" s="352">
        <f>'Корректировка тарифа'!I85</f>
        <v>0</v>
      </c>
      <c r="R76" s="348">
        <f>'Корректировка тарифа'!J85</f>
        <v>0</v>
      </c>
      <c r="S76" s="349">
        <f t="shared" si="14"/>
        <v>0</v>
      </c>
      <c r="T76" s="448">
        <f t="shared" si="8"/>
        <v>0</v>
      </c>
      <c r="U76" s="448">
        <f t="shared" si="6"/>
        <v>0</v>
      </c>
      <c r="V76" s="448">
        <f t="shared" si="9"/>
        <v>0</v>
      </c>
    </row>
    <row r="77" spans="2:22" ht="18" hidden="1" customHeight="1" outlineLevel="2" x14ac:dyDescent="0.25">
      <c r="B77" s="309"/>
      <c r="C77" s="314" t="s">
        <v>129</v>
      </c>
      <c r="D77" s="328"/>
      <c r="E77" s="332"/>
      <c r="F77" s="330"/>
      <c r="G77" s="349">
        <f t="shared" si="10"/>
        <v>0</v>
      </c>
      <c r="H77" s="332"/>
      <c r="I77" s="330"/>
      <c r="J77" s="349">
        <f t="shared" si="11"/>
        <v>0</v>
      </c>
      <c r="K77" s="332"/>
      <c r="L77" s="330"/>
      <c r="M77" s="349">
        <f t="shared" si="12"/>
        <v>0</v>
      </c>
      <c r="N77" s="332"/>
      <c r="O77" s="330"/>
      <c r="P77" s="349">
        <f t="shared" si="13"/>
        <v>0</v>
      </c>
      <c r="Q77" s="352">
        <f>'Корректировка тарифа'!I86</f>
        <v>0</v>
      </c>
      <c r="R77" s="348">
        <f>'Корректировка тарифа'!J86</f>
        <v>0</v>
      </c>
      <c r="S77" s="349">
        <f t="shared" si="14"/>
        <v>0</v>
      </c>
      <c r="T77" s="448">
        <f t="shared" si="8"/>
        <v>0</v>
      </c>
      <c r="U77" s="448">
        <f t="shared" si="6"/>
        <v>0</v>
      </c>
      <c r="V77" s="448">
        <f t="shared" si="9"/>
        <v>0</v>
      </c>
    </row>
    <row r="78" spans="2:22" ht="18" hidden="1" customHeight="1" outlineLevel="2" x14ac:dyDescent="0.25">
      <c r="B78" s="309"/>
      <c r="C78" s="314" t="s">
        <v>130</v>
      </c>
      <c r="D78" s="328" t="s">
        <v>131</v>
      </c>
      <c r="E78" s="332"/>
      <c r="F78" s="330"/>
      <c r="G78" s="349">
        <f t="shared" si="10"/>
        <v>0</v>
      </c>
      <c r="H78" s="332"/>
      <c r="I78" s="330"/>
      <c r="J78" s="349">
        <f t="shared" si="11"/>
        <v>0</v>
      </c>
      <c r="K78" s="332"/>
      <c r="L78" s="330"/>
      <c r="M78" s="349">
        <f t="shared" si="12"/>
        <v>0</v>
      </c>
      <c r="N78" s="332"/>
      <c r="O78" s="330"/>
      <c r="P78" s="349">
        <f t="shared" si="13"/>
        <v>0</v>
      </c>
      <c r="Q78" s="352">
        <f>'Корректировка тарифа'!I87</f>
        <v>0</v>
      </c>
      <c r="R78" s="348">
        <f>'Корректировка тарифа'!J87</f>
        <v>0</v>
      </c>
      <c r="S78" s="349">
        <f t="shared" si="14"/>
        <v>0</v>
      </c>
      <c r="T78" s="448">
        <f t="shared" si="8"/>
        <v>0</v>
      </c>
      <c r="U78" s="448">
        <f t="shared" si="6"/>
        <v>0</v>
      </c>
      <c r="V78" s="448">
        <f t="shared" si="9"/>
        <v>0</v>
      </c>
    </row>
    <row r="79" spans="2:22" ht="18" hidden="1" customHeight="1" outlineLevel="2" x14ac:dyDescent="0.25">
      <c r="B79" s="309"/>
      <c r="C79" s="314" t="s">
        <v>132</v>
      </c>
      <c r="D79" s="328" t="s">
        <v>128</v>
      </c>
      <c r="E79" s="332"/>
      <c r="F79" s="330"/>
      <c r="G79" s="349">
        <f t="shared" si="10"/>
        <v>0</v>
      </c>
      <c r="H79" s="332"/>
      <c r="I79" s="330"/>
      <c r="J79" s="349">
        <f t="shared" si="11"/>
        <v>0</v>
      </c>
      <c r="K79" s="332"/>
      <c r="L79" s="330"/>
      <c r="M79" s="349">
        <f t="shared" si="12"/>
        <v>0</v>
      </c>
      <c r="N79" s="332"/>
      <c r="O79" s="330"/>
      <c r="P79" s="349">
        <f t="shared" si="13"/>
        <v>0</v>
      </c>
      <c r="Q79" s="352">
        <f>'Корректировка тарифа'!I88</f>
        <v>0</v>
      </c>
      <c r="R79" s="348">
        <f>'Корректировка тарифа'!J88</f>
        <v>0</v>
      </c>
      <c r="S79" s="349">
        <f t="shared" si="14"/>
        <v>0</v>
      </c>
      <c r="T79" s="448">
        <f t="shared" si="8"/>
        <v>0</v>
      </c>
      <c r="U79" s="448">
        <f t="shared" ref="U79:U142" si="15">F79+I79+L79+O79+R79</f>
        <v>0</v>
      </c>
      <c r="V79" s="448">
        <f t="shared" si="9"/>
        <v>0</v>
      </c>
    </row>
    <row r="80" spans="2:22" ht="18" hidden="1" customHeight="1" outlineLevel="2" x14ac:dyDescent="0.25">
      <c r="B80" s="309"/>
      <c r="C80" s="314" t="s">
        <v>134</v>
      </c>
      <c r="D80" s="322" t="s">
        <v>123</v>
      </c>
      <c r="E80" s="332"/>
      <c r="F80" s="330"/>
      <c r="G80" s="349">
        <f t="shared" si="10"/>
        <v>0</v>
      </c>
      <c r="H80" s="332"/>
      <c r="I80" s="330"/>
      <c r="J80" s="349">
        <f t="shared" si="11"/>
        <v>0</v>
      </c>
      <c r="K80" s="332"/>
      <c r="L80" s="330"/>
      <c r="M80" s="349">
        <f t="shared" si="12"/>
        <v>0</v>
      </c>
      <c r="N80" s="332"/>
      <c r="O80" s="330"/>
      <c r="P80" s="349">
        <f t="shared" si="13"/>
        <v>0</v>
      </c>
      <c r="Q80" s="352">
        <f>'Корректировка тарифа'!I89</f>
        <v>0</v>
      </c>
      <c r="R80" s="348">
        <f>'Корректировка тарифа'!J89</f>
        <v>0</v>
      </c>
      <c r="S80" s="349">
        <f t="shared" si="14"/>
        <v>0</v>
      </c>
      <c r="T80" s="448">
        <f t="shared" ref="T80:T143" si="16">E80+H80+K80+N80+Q80</f>
        <v>0</v>
      </c>
      <c r="U80" s="448">
        <f t="shared" si="15"/>
        <v>0</v>
      </c>
      <c r="V80" s="448">
        <f t="shared" si="9"/>
        <v>0</v>
      </c>
    </row>
    <row r="81" spans="2:22" ht="18" hidden="1" customHeight="1" outlineLevel="2" x14ac:dyDescent="0.25">
      <c r="B81" s="309"/>
      <c r="C81" s="314" t="s">
        <v>124</v>
      </c>
      <c r="D81" s="328" t="s">
        <v>125</v>
      </c>
      <c r="E81" s="332"/>
      <c r="F81" s="330"/>
      <c r="G81" s="349">
        <f t="shared" si="10"/>
        <v>0</v>
      </c>
      <c r="H81" s="332"/>
      <c r="I81" s="330"/>
      <c r="J81" s="349">
        <f t="shared" si="11"/>
        <v>0</v>
      </c>
      <c r="K81" s="332"/>
      <c r="L81" s="330"/>
      <c r="M81" s="349">
        <f t="shared" si="12"/>
        <v>0</v>
      </c>
      <c r="N81" s="332"/>
      <c r="O81" s="330"/>
      <c r="P81" s="349">
        <f t="shared" si="13"/>
        <v>0</v>
      </c>
      <c r="Q81" s="352">
        <f>'Корректировка тарифа'!I90</f>
        <v>0</v>
      </c>
      <c r="R81" s="348">
        <f>'Корректировка тарифа'!J90</f>
        <v>0</v>
      </c>
      <c r="S81" s="349">
        <f t="shared" si="14"/>
        <v>0</v>
      </c>
      <c r="T81" s="448">
        <f t="shared" si="16"/>
        <v>0</v>
      </c>
      <c r="U81" s="448">
        <f t="shared" si="15"/>
        <v>0</v>
      </c>
      <c r="V81" s="448">
        <f t="shared" si="9"/>
        <v>0</v>
      </c>
    </row>
    <row r="82" spans="2:22" ht="18" hidden="1" customHeight="1" outlineLevel="2" x14ac:dyDescent="0.25">
      <c r="B82" s="309"/>
      <c r="C82" s="314" t="s">
        <v>126</v>
      </c>
      <c r="D82" s="328" t="s">
        <v>125</v>
      </c>
      <c r="E82" s="332"/>
      <c r="F82" s="330"/>
      <c r="G82" s="349">
        <f t="shared" si="10"/>
        <v>0</v>
      </c>
      <c r="H82" s="332"/>
      <c r="I82" s="330"/>
      <c r="J82" s="349">
        <f t="shared" si="11"/>
        <v>0</v>
      </c>
      <c r="K82" s="332"/>
      <c r="L82" s="330"/>
      <c r="M82" s="349">
        <f t="shared" si="12"/>
        <v>0</v>
      </c>
      <c r="N82" s="332"/>
      <c r="O82" s="330"/>
      <c r="P82" s="349">
        <f t="shared" si="13"/>
        <v>0</v>
      </c>
      <c r="Q82" s="352">
        <f>'Корректировка тарифа'!I91</f>
        <v>0</v>
      </c>
      <c r="R82" s="348">
        <f>'Корректировка тарифа'!J91</f>
        <v>0</v>
      </c>
      <c r="S82" s="349">
        <f t="shared" si="14"/>
        <v>0</v>
      </c>
      <c r="T82" s="448">
        <f t="shared" si="16"/>
        <v>0</v>
      </c>
      <c r="U82" s="448">
        <f t="shared" si="15"/>
        <v>0</v>
      </c>
      <c r="V82" s="448">
        <f t="shared" si="9"/>
        <v>0</v>
      </c>
    </row>
    <row r="83" spans="2:22" ht="18" hidden="1" customHeight="1" outlineLevel="2" x14ac:dyDescent="0.25">
      <c r="B83" s="309"/>
      <c r="C83" s="314" t="s">
        <v>127</v>
      </c>
      <c r="D83" s="328" t="s">
        <v>128</v>
      </c>
      <c r="E83" s="332"/>
      <c r="F83" s="330"/>
      <c r="G83" s="349">
        <f t="shared" si="10"/>
        <v>0</v>
      </c>
      <c r="H83" s="332"/>
      <c r="I83" s="330"/>
      <c r="J83" s="349">
        <f t="shared" si="11"/>
        <v>0</v>
      </c>
      <c r="K83" s="332"/>
      <c r="L83" s="330"/>
      <c r="M83" s="349">
        <f t="shared" si="12"/>
        <v>0</v>
      </c>
      <c r="N83" s="332"/>
      <c r="O83" s="330"/>
      <c r="P83" s="349">
        <f t="shared" si="13"/>
        <v>0</v>
      </c>
      <c r="Q83" s="352">
        <f>'Корректировка тарифа'!I92</f>
        <v>0</v>
      </c>
      <c r="R83" s="348">
        <f>'Корректировка тарифа'!J92</f>
        <v>0</v>
      </c>
      <c r="S83" s="349">
        <f t="shared" si="14"/>
        <v>0</v>
      </c>
      <c r="T83" s="448">
        <f t="shared" si="16"/>
        <v>0</v>
      </c>
      <c r="U83" s="448">
        <f t="shared" si="15"/>
        <v>0</v>
      </c>
      <c r="V83" s="448">
        <f t="shared" si="9"/>
        <v>0</v>
      </c>
    </row>
    <row r="84" spans="2:22" ht="18" hidden="1" customHeight="1" outlineLevel="2" x14ac:dyDescent="0.25">
      <c r="B84" s="309"/>
      <c r="C84" s="314" t="s">
        <v>129</v>
      </c>
      <c r="D84" s="328"/>
      <c r="E84" s="332"/>
      <c r="F84" s="330"/>
      <c r="G84" s="349">
        <f t="shared" si="10"/>
        <v>0</v>
      </c>
      <c r="H84" s="332"/>
      <c r="I84" s="330"/>
      <c r="J84" s="349">
        <f t="shared" si="11"/>
        <v>0</v>
      </c>
      <c r="K84" s="332"/>
      <c r="L84" s="330"/>
      <c r="M84" s="349">
        <f t="shared" si="12"/>
        <v>0</v>
      </c>
      <c r="N84" s="332"/>
      <c r="O84" s="330"/>
      <c r="P84" s="349">
        <f t="shared" si="13"/>
        <v>0</v>
      </c>
      <c r="Q84" s="352">
        <f>'Корректировка тарифа'!I93</f>
        <v>0</v>
      </c>
      <c r="R84" s="348">
        <f>'Корректировка тарифа'!J93</f>
        <v>0</v>
      </c>
      <c r="S84" s="349">
        <f t="shared" si="14"/>
        <v>0</v>
      </c>
      <c r="T84" s="448">
        <f t="shared" si="16"/>
        <v>0</v>
      </c>
      <c r="U84" s="448">
        <f t="shared" si="15"/>
        <v>0</v>
      </c>
      <c r="V84" s="448">
        <f t="shared" si="9"/>
        <v>0</v>
      </c>
    </row>
    <row r="85" spans="2:22" ht="18" hidden="1" customHeight="1" outlineLevel="2" x14ac:dyDescent="0.25">
      <c r="B85" s="309"/>
      <c r="C85" s="314" t="s">
        <v>130</v>
      </c>
      <c r="D85" s="328" t="s">
        <v>131</v>
      </c>
      <c r="E85" s="332"/>
      <c r="F85" s="330"/>
      <c r="G85" s="349">
        <f t="shared" si="10"/>
        <v>0</v>
      </c>
      <c r="H85" s="332"/>
      <c r="I85" s="330"/>
      <c r="J85" s="349">
        <f t="shared" si="11"/>
        <v>0</v>
      </c>
      <c r="K85" s="332"/>
      <c r="L85" s="330"/>
      <c r="M85" s="349">
        <f t="shared" si="12"/>
        <v>0</v>
      </c>
      <c r="N85" s="332"/>
      <c r="O85" s="330"/>
      <c r="P85" s="349">
        <f t="shared" si="13"/>
        <v>0</v>
      </c>
      <c r="Q85" s="352">
        <f>'Корректировка тарифа'!I94</f>
        <v>0</v>
      </c>
      <c r="R85" s="348">
        <f>'Корректировка тарифа'!J94</f>
        <v>0</v>
      </c>
      <c r="S85" s="349">
        <f t="shared" si="14"/>
        <v>0</v>
      </c>
      <c r="T85" s="448">
        <f t="shared" si="16"/>
        <v>0</v>
      </c>
      <c r="U85" s="448">
        <f t="shared" si="15"/>
        <v>0</v>
      </c>
      <c r="V85" s="448">
        <f t="shared" si="9"/>
        <v>0</v>
      </c>
    </row>
    <row r="86" spans="2:22" ht="18" hidden="1" customHeight="1" outlineLevel="2" x14ac:dyDescent="0.25">
      <c r="B86" s="309"/>
      <c r="C86" s="314" t="s">
        <v>132</v>
      </c>
      <c r="D86" s="328" t="s">
        <v>128</v>
      </c>
      <c r="E86" s="332"/>
      <c r="F86" s="330"/>
      <c r="G86" s="349">
        <f t="shared" si="10"/>
        <v>0</v>
      </c>
      <c r="H86" s="332"/>
      <c r="I86" s="330"/>
      <c r="J86" s="349">
        <f t="shared" si="11"/>
        <v>0</v>
      </c>
      <c r="K86" s="332"/>
      <c r="L86" s="330"/>
      <c r="M86" s="349">
        <f t="shared" si="12"/>
        <v>0</v>
      </c>
      <c r="N86" s="332"/>
      <c r="O86" s="330"/>
      <c r="P86" s="349">
        <f t="shared" si="13"/>
        <v>0</v>
      </c>
      <c r="Q86" s="352">
        <f>'Корректировка тарифа'!I95</f>
        <v>0</v>
      </c>
      <c r="R86" s="348">
        <f>'Корректировка тарифа'!J95</f>
        <v>0</v>
      </c>
      <c r="S86" s="349">
        <f t="shared" si="14"/>
        <v>0</v>
      </c>
      <c r="T86" s="448">
        <f t="shared" si="16"/>
        <v>0</v>
      </c>
      <c r="U86" s="448">
        <f t="shared" si="15"/>
        <v>0</v>
      </c>
      <c r="V86" s="448">
        <f t="shared" si="9"/>
        <v>0</v>
      </c>
    </row>
    <row r="87" spans="2:22" ht="18" hidden="1" customHeight="1" outlineLevel="2" x14ac:dyDescent="0.25">
      <c r="B87" s="309"/>
      <c r="C87" s="314" t="s">
        <v>135</v>
      </c>
      <c r="D87" s="322" t="s">
        <v>123</v>
      </c>
      <c r="E87" s="332"/>
      <c r="F87" s="330"/>
      <c r="G87" s="349">
        <f t="shared" si="10"/>
        <v>0</v>
      </c>
      <c r="H87" s="332"/>
      <c r="I87" s="330"/>
      <c r="J87" s="349">
        <f t="shared" si="11"/>
        <v>0</v>
      </c>
      <c r="K87" s="332"/>
      <c r="L87" s="330"/>
      <c r="M87" s="349">
        <f t="shared" si="12"/>
        <v>0</v>
      </c>
      <c r="N87" s="332"/>
      <c r="O87" s="330"/>
      <c r="P87" s="349">
        <f t="shared" si="13"/>
        <v>0</v>
      </c>
      <c r="Q87" s="352">
        <f>'Корректировка тарифа'!I96</f>
        <v>0</v>
      </c>
      <c r="R87" s="348">
        <f>'Корректировка тарифа'!J96</f>
        <v>0</v>
      </c>
      <c r="S87" s="349">
        <f t="shared" si="14"/>
        <v>0</v>
      </c>
      <c r="T87" s="448">
        <f t="shared" si="16"/>
        <v>0</v>
      </c>
      <c r="U87" s="448">
        <f t="shared" si="15"/>
        <v>0</v>
      </c>
      <c r="V87" s="448">
        <f t="shared" si="9"/>
        <v>0</v>
      </c>
    </row>
    <row r="88" spans="2:22" ht="18" hidden="1" customHeight="1" outlineLevel="2" x14ac:dyDescent="0.25">
      <c r="B88" s="309"/>
      <c r="C88" s="314" t="s">
        <v>124</v>
      </c>
      <c r="D88" s="328" t="s">
        <v>125</v>
      </c>
      <c r="E88" s="332"/>
      <c r="F88" s="330"/>
      <c r="G88" s="349">
        <f t="shared" si="10"/>
        <v>0</v>
      </c>
      <c r="H88" s="332"/>
      <c r="I88" s="330"/>
      <c r="J88" s="349">
        <f t="shared" si="11"/>
        <v>0</v>
      </c>
      <c r="K88" s="332"/>
      <c r="L88" s="330"/>
      <c r="M88" s="349">
        <f t="shared" si="12"/>
        <v>0</v>
      </c>
      <c r="N88" s="332"/>
      <c r="O88" s="330"/>
      <c r="P88" s="349">
        <f t="shared" si="13"/>
        <v>0</v>
      </c>
      <c r="Q88" s="352">
        <f>'Корректировка тарифа'!I97</f>
        <v>0</v>
      </c>
      <c r="R88" s="348">
        <f>'Корректировка тарифа'!J97</f>
        <v>0</v>
      </c>
      <c r="S88" s="349">
        <f t="shared" si="14"/>
        <v>0</v>
      </c>
      <c r="T88" s="448">
        <f t="shared" si="16"/>
        <v>0</v>
      </c>
      <c r="U88" s="448">
        <f t="shared" si="15"/>
        <v>0</v>
      </c>
      <c r="V88" s="448">
        <f t="shared" si="9"/>
        <v>0</v>
      </c>
    </row>
    <row r="89" spans="2:22" ht="18" hidden="1" customHeight="1" outlineLevel="2" x14ac:dyDescent="0.25">
      <c r="B89" s="309"/>
      <c r="C89" s="314" t="s">
        <v>126</v>
      </c>
      <c r="D89" s="328" t="s">
        <v>125</v>
      </c>
      <c r="E89" s="332"/>
      <c r="F89" s="330"/>
      <c r="G89" s="349">
        <f t="shared" si="10"/>
        <v>0</v>
      </c>
      <c r="H89" s="332"/>
      <c r="I89" s="330"/>
      <c r="J89" s="349">
        <f t="shared" si="11"/>
        <v>0</v>
      </c>
      <c r="K89" s="332"/>
      <c r="L89" s="330"/>
      <c r="M89" s="349">
        <f t="shared" si="12"/>
        <v>0</v>
      </c>
      <c r="N89" s="332"/>
      <c r="O89" s="330"/>
      <c r="P89" s="349">
        <f t="shared" si="13"/>
        <v>0</v>
      </c>
      <c r="Q89" s="352">
        <f>'Корректировка тарифа'!I98</f>
        <v>0</v>
      </c>
      <c r="R89" s="348">
        <f>'Корректировка тарифа'!J98</f>
        <v>0</v>
      </c>
      <c r="S89" s="349">
        <f t="shared" si="14"/>
        <v>0</v>
      </c>
      <c r="T89" s="448">
        <f t="shared" si="16"/>
        <v>0</v>
      </c>
      <c r="U89" s="448">
        <f t="shared" si="15"/>
        <v>0</v>
      </c>
      <c r="V89" s="448">
        <f t="shared" si="9"/>
        <v>0</v>
      </c>
    </row>
    <row r="90" spans="2:22" ht="18" hidden="1" customHeight="1" outlineLevel="2" x14ac:dyDescent="0.25">
      <c r="B90" s="309"/>
      <c r="C90" s="314" t="s">
        <v>127</v>
      </c>
      <c r="D90" s="328" t="s">
        <v>128</v>
      </c>
      <c r="E90" s="332"/>
      <c r="F90" s="330"/>
      <c r="G90" s="349">
        <f t="shared" si="10"/>
        <v>0</v>
      </c>
      <c r="H90" s="332"/>
      <c r="I90" s="330"/>
      <c r="J90" s="349">
        <f t="shared" si="11"/>
        <v>0</v>
      </c>
      <c r="K90" s="332"/>
      <c r="L90" s="330"/>
      <c r="M90" s="349">
        <f t="shared" si="12"/>
        <v>0</v>
      </c>
      <c r="N90" s="332"/>
      <c r="O90" s="330"/>
      <c r="P90" s="349">
        <f t="shared" si="13"/>
        <v>0</v>
      </c>
      <c r="Q90" s="352">
        <f>'Корректировка тарифа'!I99</f>
        <v>0</v>
      </c>
      <c r="R90" s="348">
        <f>'Корректировка тарифа'!J99</f>
        <v>0</v>
      </c>
      <c r="S90" s="349">
        <f t="shared" si="14"/>
        <v>0</v>
      </c>
      <c r="T90" s="448">
        <f t="shared" si="16"/>
        <v>0</v>
      </c>
      <c r="U90" s="448">
        <f t="shared" si="15"/>
        <v>0</v>
      </c>
      <c r="V90" s="448">
        <f t="shared" si="9"/>
        <v>0</v>
      </c>
    </row>
    <row r="91" spans="2:22" ht="18" hidden="1" customHeight="1" outlineLevel="2" x14ac:dyDescent="0.25">
      <c r="B91" s="309"/>
      <c r="C91" s="314" t="s">
        <v>129</v>
      </c>
      <c r="D91" s="328"/>
      <c r="E91" s="332"/>
      <c r="F91" s="330"/>
      <c r="G91" s="349">
        <f t="shared" si="10"/>
        <v>0</v>
      </c>
      <c r="H91" s="332"/>
      <c r="I91" s="330"/>
      <c r="J91" s="349">
        <f t="shared" si="11"/>
        <v>0</v>
      </c>
      <c r="K91" s="332"/>
      <c r="L91" s="330"/>
      <c r="M91" s="349">
        <f t="shared" si="12"/>
        <v>0</v>
      </c>
      <c r="N91" s="332"/>
      <c r="O91" s="330"/>
      <c r="P91" s="349">
        <f t="shared" si="13"/>
        <v>0</v>
      </c>
      <c r="Q91" s="352">
        <f>'Корректировка тарифа'!I100</f>
        <v>0</v>
      </c>
      <c r="R91" s="348">
        <f>'Корректировка тарифа'!J100</f>
        <v>0</v>
      </c>
      <c r="S91" s="349">
        <f t="shared" si="14"/>
        <v>0</v>
      </c>
      <c r="T91" s="448">
        <f t="shared" si="16"/>
        <v>0</v>
      </c>
      <c r="U91" s="448">
        <f t="shared" si="15"/>
        <v>0</v>
      </c>
      <c r="V91" s="448">
        <f t="shared" si="9"/>
        <v>0</v>
      </c>
    </row>
    <row r="92" spans="2:22" ht="18" hidden="1" customHeight="1" outlineLevel="2" x14ac:dyDescent="0.25">
      <c r="B92" s="309"/>
      <c r="C92" s="314" t="s">
        <v>130</v>
      </c>
      <c r="D92" s="328" t="s">
        <v>131</v>
      </c>
      <c r="E92" s="332"/>
      <c r="F92" s="330"/>
      <c r="G92" s="349">
        <f t="shared" si="10"/>
        <v>0</v>
      </c>
      <c r="H92" s="332"/>
      <c r="I92" s="330"/>
      <c r="J92" s="349">
        <f t="shared" si="11"/>
        <v>0</v>
      </c>
      <c r="K92" s="332"/>
      <c r="L92" s="330"/>
      <c r="M92" s="349">
        <f t="shared" si="12"/>
        <v>0</v>
      </c>
      <c r="N92" s="332"/>
      <c r="O92" s="330"/>
      <c r="P92" s="349">
        <f t="shared" si="13"/>
        <v>0</v>
      </c>
      <c r="Q92" s="352">
        <f>'Корректировка тарифа'!I101</f>
        <v>0</v>
      </c>
      <c r="R92" s="348">
        <f>'Корректировка тарифа'!J101</f>
        <v>0</v>
      </c>
      <c r="S92" s="349">
        <f t="shared" si="14"/>
        <v>0</v>
      </c>
      <c r="T92" s="448">
        <f t="shared" si="16"/>
        <v>0</v>
      </c>
      <c r="U92" s="448">
        <f t="shared" si="15"/>
        <v>0</v>
      </c>
      <c r="V92" s="448">
        <f t="shared" si="9"/>
        <v>0</v>
      </c>
    </row>
    <row r="93" spans="2:22" ht="18" hidden="1" customHeight="1" outlineLevel="2" x14ac:dyDescent="0.25">
      <c r="B93" s="309"/>
      <c r="C93" s="314" t="s">
        <v>132</v>
      </c>
      <c r="D93" s="328" t="s">
        <v>128</v>
      </c>
      <c r="E93" s="332"/>
      <c r="F93" s="330"/>
      <c r="G93" s="349">
        <f t="shared" si="10"/>
        <v>0</v>
      </c>
      <c r="H93" s="332"/>
      <c r="I93" s="330"/>
      <c r="J93" s="349">
        <f t="shared" si="11"/>
        <v>0</v>
      </c>
      <c r="K93" s="332"/>
      <c r="L93" s="330"/>
      <c r="M93" s="349">
        <f t="shared" si="12"/>
        <v>0</v>
      </c>
      <c r="N93" s="332"/>
      <c r="O93" s="330"/>
      <c r="P93" s="349">
        <f t="shared" si="13"/>
        <v>0</v>
      </c>
      <c r="Q93" s="352">
        <f>'Корректировка тарифа'!I102</f>
        <v>0</v>
      </c>
      <c r="R93" s="348">
        <f>'Корректировка тарифа'!J102</f>
        <v>0</v>
      </c>
      <c r="S93" s="349">
        <f t="shared" si="14"/>
        <v>0</v>
      </c>
      <c r="T93" s="448">
        <f t="shared" si="16"/>
        <v>0</v>
      </c>
      <c r="U93" s="448">
        <f t="shared" si="15"/>
        <v>0</v>
      </c>
      <c r="V93" s="448">
        <f t="shared" si="9"/>
        <v>0</v>
      </c>
    </row>
    <row r="94" spans="2:22" ht="18" hidden="1" customHeight="1" outlineLevel="2" x14ac:dyDescent="0.25">
      <c r="B94" s="309"/>
      <c r="C94" s="314" t="s">
        <v>136</v>
      </c>
      <c r="D94" s="322" t="s">
        <v>123</v>
      </c>
      <c r="E94" s="332"/>
      <c r="F94" s="330"/>
      <c r="G94" s="349">
        <f t="shared" si="10"/>
        <v>0</v>
      </c>
      <c r="H94" s="332"/>
      <c r="I94" s="330"/>
      <c r="J94" s="349">
        <f t="shared" si="11"/>
        <v>0</v>
      </c>
      <c r="K94" s="332"/>
      <c r="L94" s="330"/>
      <c r="M94" s="349">
        <f t="shared" si="12"/>
        <v>0</v>
      </c>
      <c r="N94" s="332"/>
      <c r="O94" s="330"/>
      <c r="P94" s="349">
        <f t="shared" si="13"/>
        <v>0</v>
      </c>
      <c r="Q94" s="352">
        <f>'Корректировка тарифа'!I103</f>
        <v>0</v>
      </c>
      <c r="R94" s="348">
        <f>'Корректировка тарифа'!J103</f>
        <v>0</v>
      </c>
      <c r="S94" s="349">
        <f t="shared" si="14"/>
        <v>0</v>
      </c>
      <c r="T94" s="448">
        <f t="shared" si="16"/>
        <v>0</v>
      </c>
      <c r="U94" s="448">
        <f t="shared" si="15"/>
        <v>0</v>
      </c>
      <c r="V94" s="448">
        <f t="shared" si="9"/>
        <v>0</v>
      </c>
    </row>
    <row r="95" spans="2:22" ht="18" hidden="1" customHeight="1" outlineLevel="2" x14ac:dyDescent="0.25">
      <c r="B95" s="309"/>
      <c r="C95" s="314" t="s">
        <v>124</v>
      </c>
      <c r="D95" s="328" t="s">
        <v>125</v>
      </c>
      <c r="E95" s="332"/>
      <c r="F95" s="330"/>
      <c r="G95" s="349">
        <f t="shared" si="10"/>
        <v>0</v>
      </c>
      <c r="H95" s="332"/>
      <c r="I95" s="330"/>
      <c r="J95" s="349">
        <f t="shared" si="11"/>
        <v>0</v>
      </c>
      <c r="K95" s="332"/>
      <c r="L95" s="330"/>
      <c r="M95" s="349">
        <f t="shared" si="12"/>
        <v>0</v>
      </c>
      <c r="N95" s="332"/>
      <c r="O95" s="330"/>
      <c r="P95" s="349">
        <f t="shared" si="13"/>
        <v>0</v>
      </c>
      <c r="Q95" s="352">
        <f>'Корректировка тарифа'!I104</f>
        <v>0</v>
      </c>
      <c r="R95" s="348">
        <f>'Корректировка тарифа'!J104</f>
        <v>0</v>
      </c>
      <c r="S95" s="349">
        <f t="shared" si="14"/>
        <v>0</v>
      </c>
      <c r="T95" s="448">
        <f t="shared" si="16"/>
        <v>0</v>
      </c>
      <c r="U95" s="448">
        <f t="shared" si="15"/>
        <v>0</v>
      </c>
      <c r="V95" s="448">
        <f t="shared" si="9"/>
        <v>0</v>
      </c>
    </row>
    <row r="96" spans="2:22" ht="18" hidden="1" customHeight="1" outlineLevel="2" x14ac:dyDescent="0.25">
      <c r="B96" s="309"/>
      <c r="C96" s="314" t="s">
        <v>126</v>
      </c>
      <c r="D96" s="328" t="s">
        <v>125</v>
      </c>
      <c r="E96" s="332"/>
      <c r="F96" s="330"/>
      <c r="G96" s="349">
        <f t="shared" si="10"/>
        <v>0</v>
      </c>
      <c r="H96" s="332"/>
      <c r="I96" s="330"/>
      <c r="J96" s="349">
        <f t="shared" si="11"/>
        <v>0</v>
      </c>
      <c r="K96" s="332"/>
      <c r="L96" s="330"/>
      <c r="M96" s="349">
        <f t="shared" si="12"/>
        <v>0</v>
      </c>
      <c r="N96" s="332"/>
      <c r="O96" s="330"/>
      <c r="P96" s="349">
        <f t="shared" si="13"/>
        <v>0</v>
      </c>
      <c r="Q96" s="352">
        <f>'Корректировка тарифа'!I105</f>
        <v>0</v>
      </c>
      <c r="R96" s="348">
        <f>'Корректировка тарифа'!J105</f>
        <v>0</v>
      </c>
      <c r="S96" s="349">
        <f t="shared" si="14"/>
        <v>0</v>
      </c>
      <c r="T96" s="448">
        <f t="shared" si="16"/>
        <v>0</v>
      </c>
      <c r="U96" s="448">
        <f t="shared" si="15"/>
        <v>0</v>
      </c>
      <c r="V96" s="448">
        <f t="shared" si="9"/>
        <v>0</v>
      </c>
    </row>
    <row r="97" spans="2:22" ht="18" hidden="1" customHeight="1" outlineLevel="2" x14ac:dyDescent="0.25">
      <c r="B97" s="309"/>
      <c r="C97" s="314" t="s">
        <v>127</v>
      </c>
      <c r="D97" s="328" t="s">
        <v>128</v>
      </c>
      <c r="E97" s="332"/>
      <c r="F97" s="330"/>
      <c r="G97" s="349">
        <f t="shared" si="10"/>
        <v>0</v>
      </c>
      <c r="H97" s="332"/>
      <c r="I97" s="330"/>
      <c r="J97" s="349">
        <f t="shared" si="11"/>
        <v>0</v>
      </c>
      <c r="K97" s="332"/>
      <c r="L97" s="330"/>
      <c r="M97" s="349">
        <f t="shared" si="12"/>
        <v>0</v>
      </c>
      <c r="N97" s="332"/>
      <c r="O97" s="330"/>
      <c r="P97" s="349">
        <f t="shared" si="13"/>
        <v>0</v>
      </c>
      <c r="Q97" s="352">
        <f>'Корректировка тарифа'!I106</f>
        <v>0</v>
      </c>
      <c r="R97" s="348">
        <f>'Корректировка тарифа'!J106</f>
        <v>0</v>
      </c>
      <c r="S97" s="349">
        <f t="shared" si="14"/>
        <v>0</v>
      </c>
      <c r="T97" s="448">
        <f t="shared" si="16"/>
        <v>0</v>
      </c>
      <c r="U97" s="448">
        <f t="shared" si="15"/>
        <v>0</v>
      </c>
      <c r="V97" s="448">
        <f t="shared" si="9"/>
        <v>0</v>
      </c>
    </row>
    <row r="98" spans="2:22" ht="18" hidden="1" customHeight="1" outlineLevel="2" x14ac:dyDescent="0.25">
      <c r="B98" s="309"/>
      <c r="C98" s="314" t="s">
        <v>129</v>
      </c>
      <c r="D98" s="328"/>
      <c r="E98" s="332"/>
      <c r="F98" s="330"/>
      <c r="G98" s="349">
        <f t="shared" si="10"/>
        <v>0</v>
      </c>
      <c r="H98" s="332"/>
      <c r="I98" s="330"/>
      <c r="J98" s="349">
        <f t="shared" si="11"/>
        <v>0</v>
      </c>
      <c r="K98" s="332"/>
      <c r="L98" s="330"/>
      <c r="M98" s="349">
        <f t="shared" si="12"/>
        <v>0</v>
      </c>
      <c r="N98" s="332"/>
      <c r="O98" s="330"/>
      <c r="P98" s="349">
        <f t="shared" si="13"/>
        <v>0</v>
      </c>
      <c r="Q98" s="352">
        <f>'Корректировка тарифа'!I107</f>
        <v>0</v>
      </c>
      <c r="R98" s="348">
        <f>'Корректировка тарифа'!J107</f>
        <v>0</v>
      </c>
      <c r="S98" s="349">
        <f t="shared" si="14"/>
        <v>0</v>
      </c>
      <c r="T98" s="448">
        <f t="shared" si="16"/>
        <v>0</v>
      </c>
      <c r="U98" s="448">
        <f t="shared" si="15"/>
        <v>0</v>
      </c>
      <c r="V98" s="448">
        <f t="shared" si="9"/>
        <v>0</v>
      </c>
    </row>
    <row r="99" spans="2:22" ht="18" hidden="1" customHeight="1" outlineLevel="2" x14ac:dyDescent="0.25">
      <c r="B99" s="309"/>
      <c r="C99" s="314" t="s">
        <v>130</v>
      </c>
      <c r="D99" s="328" t="s">
        <v>131</v>
      </c>
      <c r="E99" s="332"/>
      <c r="F99" s="330"/>
      <c r="G99" s="349">
        <f t="shared" si="10"/>
        <v>0</v>
      </c>
      <c r="H99" s="332"/>
      <c r="I99" s="330"/>
      <c r="J99" s="349">
        <f t="shared" si="11"/>
        <v>0</v>
      </c>
      <c r="K99" s="332"/>
      <c r="L99" s="330"/>
      <c r="M99" s="349">
        <f t="shared" si="12"/>
        <v>0</v>
      </c>
      <c r="N99" s="332"/>
      <c r="O99" s="330"/>
      <c r="P99" s="349">
        <f t="shared" si="13"/>
        <v>0</v>
      </c>
      <c r="Q99" s="352">
        <f>'Корректировка тарифа'!I108</f>
        <v>0</v>
      </c>
      <c r="R99" s="348">
        <f>'Корректировка тарифа'!J108</f>
        <v>0</v>
      </c>
      <c r="S99" s="349">
        <f t="shared" si="14"/>
        <v>0</v>
      </c>
      <c r="T99" s="448">
        <f t="shared" si="16"/>
        <v>0</v>
      </c>
      <c r="U99" s="448">
        <f t="shared" si="15"/>
        <v>0</v>
      </c>
      <c r="V99" s="448">
        <f t="shared" si="9"/>
        <v>0</v>
      </c>
    </row>
    <row r="100" spans="2:22" ht="18" hidden="1" customHeight="1" outlineLevel="2" x14ac:dyDescent="0.25">
      <c r="B100" s="309"/>
      <c r="C100" s="314" t="s">
        <v>132</v>
      </c>
      <c r="D100" s="328" t="s">
        <v>128</v>
      </c>
      <c r="E100" s="332"/>
      <c r="F100" s="330"/>
      <c r="G100" s="349">
        <f t="shared" si="10"/>
        <v>0</v>
      </c>
      <c r="H100" s="332"/>
      <c r="I100" s="330"/>
      <c r="J100" s="349">
        <f t="shared" si="11"/>
        <v>0</v>
      </c>
      <c r="K100" s="332"/>
      <c r="L100" s="330"/>
      <c r="M100" s="349">
        <f t="shared" si="12"/>
        <v>0</v>
      </c>
      <c r="N100" s="332"/>
      <c r="O100" s="330"/>
      <c r="P100" s="349">
        <f t="shared" si="13"/>
        <v>0</v>
      </c>
      <c r="Q100" s="352">
        <f>'Корректировка тарифа'!I109</f>
        <v>0</v>
      </c>
      <c r="R100" s="348">
        <f>'Корректировка тарифа'!J109</f>
        <v>0</v>
      </c>
      <c r="S100" s="349">
        <f t="shared" si="14"/>
        <v>0</v>
      </c>
      <c r="T100" s="448">
        <f t="shared" si="16"/>
        <v>0</v>
      </c>
      <c r="U100" s="448">
        <f t="shared" si="15"/>
        <v>0</v>
      </c>
      <c r="V100" s="448">
        <f t="shared" si="9"/>
        <v>0</v>
      </c>
    </row>
    <row r="101" spans="2:22" ht="18" customHeight="1" collapsed="1" x14ac:dyDescent="0.25">
      <c r="B101" s="312" t="s">
        <v>137</v>
      </c>
      <c r="C101" s="313" t="s">
        <v>138</v>
      </c>
      <c r="D101" s="327" t="s">
        <v>31</v>
      </c>
      <c r="E101" s="332"/>
      <c r="F101" s="330"/>
      <c r="G101" s="349">
        <f t="shared" si="10"/>
        <v>0</v>
      </c>
      <c r="H101" s="332"/>
      <c r="I101" s="330"/>
      <c r="J101" s="349">
        <f t="shared" si="11"/>
        <v>0</v>
      </c>
      <c r="K101" s="332"/>
      <c r="L101" s="330"/>
      <c r="M101" s="349">
        <f t="shared" si="12"/>
        <v>0</v>
      </c>
      <c r="N101" s="332">
        <v>11.123335181217824</v>
      </c>
      <c r="O101" s="330">
        <v>11.285</v>
      </c>
      <c r="P101" s="349">
        <f t="shared" si="13"/>
        <v>-0.16166481878217631</v>
      </c>
      <c r="Q101" s="352">
        <f>'Корректировка тарифа'!I110</f>
        <v>11.44</v>
      </c>
      <c r="R101" s="348">
        <f>'Корректировка тарифа'!J110</f>
        <v>0</v>
      </c>
      <c r="S101" s="349">
        <f t="shared" si="14"/>
        <v>11.44</v>
      </c>
      <c r="T101" s="448">
        <f t="shared" si="16"/>
        <v>22.563335181217823</v>
      </c>
      <c r="U101" s="448">
        <f t="shared" si="15"/>
        <v>11.285</v>
      </c>
      <c r="V101" s="448">
        <f t="shared" si="9"/>
        <v>-11.278335181217823</v>
      </c>
    </row>
    <row r="102" spans="2:22" ht="18" hidden="1" customHeight="1" outlineLevel="1" x14ac:dyDescent="0.25">
      <c r="B102" s="309" t="s">
        <v>139</v>
      </c>
      <c r="C102" s="310" t="s">
        <v>140</v>
      </c>
      <c r="D102" s="325" t="s">
        <v>31</v>
      </c>
      <c r="E102" s="332"/>
      <c r="F102" s="330"/>
      <c r="G102" s="349">
        <f t="shared" si="10"/>
        <v>0</v>
      </c>
      <c r="H102" s="332"/>
      <c r="I102" s="330"/>
      <c r="J102" s="349">
        <f t="shared" si="11"/>
        <v>0</v>
      </c>
      <c r="K102" s="332"/>
      <c r="L102" s="330"/>
      <c r="M102" s="349">
        <f t="shared" si="12"/>
        <v>0</v>
      </c>
      <c r="N102" s="332">
        <v>0</v>
      </c>
      <c r="O102" s="330">
        <v>0</v>
      </c>
      <c r="P102" s="349">
        <f t="shared" si="13"/>
        <v>0</v>
      </c>
      <c r="Q102" s="352">
        <f>'Корректировка тарифа'!I111</f>
        <v>0</v>
      </c>
      <c r="R102" s="348">
        <f>'Корректировка тарифа'!J111</f>
        <v>0</v>
      </c>
      <c r="S102" s="349">
        <f t="shared" si="14"/>
        <v>0</v>
      </c>
      <c r="T102" s="448">
        <f t="shared" si="16"/>
        <v>0</v>
      </c>
      <c r="U102" s="448">
        <f t="shared" si="15"/>
        <v>0</v>
      </c>
      <c r="V102" s="448">
        <f t="shared" si="9"/>
        <v>0</v>
      </c>
    </row>
    <row r="103" spans="2:22" ht="18" hidden="1" customHeight="1" outlineLevel="2" x14ac:dyDescent="0.25">
      <c r="B103" s="309" t="s">
        <v>141</v>
      </c>
      <c r="C103" s="310" t="s">
        <v>142</v>
      </c>
      <c r="D103" s="325" t="s">
        <v>31</v>
      </c>
      <c r="E103" s="332"/>
      <c r="F103" s="330"/>
      <c r="G103" s="349">
        <f t="shared" si="10"/>
        <v>0</v>
      </c>
      <c r="H103" s="332"/>
      <c r="I103" s="330"/>
      <c r="J103" s="349">
        <f t="shared" si="11"/>
        <v>0</v>
      </c>
      <c r="K103" s="332"/>
      <c r="L103" s="330"/>
      <c r="M103" s="349">
        <f t="shared" si="12"/>
        <v>0</v>
      </c>
      <c r="N103" s="332">
        <v>0</v>
      </c>
      <c r="O103" s="330">
        <v>0</v>
      </c>
      <c r="P103" s="349">
        <f t="shared" si="13"/>
        <v>0</v>
      </c>
      <c r="Q103" s="352">
        <f>'Корректировка тарифа'!I112</f>
        <v>0</v>
      </c>
      <c r="R103" s="348">
        <f>'Корректировка тарифа'!J112</f>
        <v>0</v>
      </c>
      <c r="S103" s="349">
        <f t="shared" si="14"/>
        <v>0</v>
      </c>
      <c r="T103" s="448">
        <f t="shared" si="16"/>
        <v>0</v>
      </c>
      <c r="U103" s="448">
        <f t="shared" si="15"/>
        <v>0</v>
      </c>
      <c r="V103" s="448">
        <f t="shared" si="9"/>
        <v>0</v>
      </c>
    </row>
    <row r="104" spans="2:22" ht="18" hidden="1" customHeight="1" outlineLevel="2" x14ac:dyDescent="0.25">
      <c r="B104" s="309" t="s">
        <v>143</v>
      </c>
      <c r="C104" s="310" t="s">
        <v>144</v>
      </c>
      <c r="D104" s="325" t="s">
        <v>31</v>
      </c>
      <c r="E104" s="332"/>
      <c r="F104" s="330"/>
      <c r="G104" s="349">
        <f t="shared" si="10"/>
        <v>0</v>
      </c>
      <c r="H104" s="332"/>
      <c r="I104" s="330"/>
      <c r="J104" s="349">
        <f t="shared" si="11"/>
        <v>0</v>
      </c>
      <c r="K104" s="332"/>
      <c r="L104" s="330"/>
      <c r="M104" s="349">
        <f t="shared" si="12"/>
        <v>0</v>
      </c>
      <c r="N104" s="332">
        <v>0</v>
      </c>
      <c r="O104" s="330">
        <v>0</v>
      </c>
      <c r="P104" s="349">
        <f t="shared" si="13"/>
        <v>0</v>
      </c>
      <c r="Q104" s="352">
        <f>'Корректировка тарифа'!I113</f>
        <v>0</v>
      </c>
      <c r="R104" s="348">
        <f>'Корректировка тарифа'!J113</f>
        <v>0</v>
      </c>
      <c r="S104" s="349">
        <f t="shared" si="14"/>
        <v>0</v>
      </c>
      <c r="T104" s="448">
        <f t="shared" si="16"/>
        <v>0</v>
      </c>
      <c r="U104" s="448">
        <f t="shared" si="15"/>
        <v>0</v>
      </c>
      <c r="V104" s="448">
        <f t="shared" si="9"/>
        <v>0</v>
      </c>
    </row>
    <row r="105" spans="2:22" ht="18" hidden="1" customHeight="1" outlineLevel="2" x14ac:dyDescent="0.25">
      <c r="B105" s="309" t="s">
        <v>145</v>
      </c>
      <c r="C105" s="310" t="s">
        <v>146</v>
      </c>
      <c r="D105" s="325" t="s">
        <v>31</v>
      </c>
      <c r="E105" s="332"/>
      <c r="F105" s="330"/>
      <c r="G105" s="349">
        <f t="shared" si="10"/>
        <v>0</v>
      </c>
      <c r="H105" s="332"/>
      <c r="I105" s="330"/>
      <c r="J105" s="349">
        <f t="shared" si="11"/>
        <v>0</v>
      </c>
      <c r="K105" s="332"/>
      <c r="L105" s="330"/>
      <c r="M105" s="349">
        <f t="shared" si="12"/>
        <v>0</v>
      </c>
      <c r="N105" s="332">
        <v>0</v>
      </c>
      <c r="O105" s="330">
        <v>0</v>
      </c>
      <c r="P105" s="349">
        <f t="shared" si="13"/>
        <v>0</v>
      </c>
      <c r="Q105" s="352">
        <f>'Корректировка тарифа'!I114</f>
        <v>0</v>
      </c>
      <c r="R105" s="348">
        <f>'Корректировка тарифа'!J114</f>
        <v>0</v>
      </c>
      <c r="S105" s="349">
        <f t="shared" si="14"/>
        <v>0</v>
      </c>
      <c r="T105" s="448">
        <f t="shared" si="16"/>
        <v>0</v>
      </c>
      <c r="U105" s="448">
        <f t="shared" si="15"/>
        <v>0</v>
      </c>
      <c r="V105" s="448">
        <f t="shared" si="9"/>
        <v>0</v>
      </c>
    </row>
    <row r="106" spans="2:22" ht="18" hidden="1" customHeight="1" outlineLevel="2" x14ac:dyDescent="0.25">
      <c r="B106" s="309" t="s">
        <v>147</v>
      </c>
      <c r="C106" s="310" t="s">
        <v>148</v>
      </c>
      <c r="D106" s="325" t="s">
        <v>31</v>
      </c>
      <c r="E106" s="332"/>
      <c r="F106" s="330"/>
      <c r="G106" s="349">
        <f t="shared" si="10"/>
        <v>0</v>
      </c>
      <c r="H106" s="332"/>
      <c r="I106" s="330"/>
      <c r="J106" s="349">
        <f t="shared" si="11"/>
        <v>0</v>
      </c>
      <c r="K106" s="332"/>
      <c r="L106" s="330"/>
      <c r="M106" s="349">
        <f t="shared" si="12"/>
        <v>0</v>
      </c>
      <c r="N106" s="332">
        <v>0</v>
      </c>
      <c r="O106" s="330">
        <v>0</v>
      </c>
      <c r="P106" s="349">
        <f t="shared" si="13"/>
        <v>0</v>
      </c>
      <c r="Q106" s="352">
        <f>'Корректировка тарифа'!I115</f>
        <v>0</v>
      </c>
      <c r="R106" s="348">
        <f>'Корректировка тарифа'!J115</f>
        <v>0</v>
      </c>
      <c r="S106" s="349">
        <f t="shared" si="14"/>
        <v>0</v>
      </c>
      <c r="T106" s="448">
        <f t="shared" si="16"/>
        <v>0</v>
      </c>
      <c r="U106" s="448">
        <f t="shared" si="15"/>
        <v>0</v>
      </c>
      <c r="V106" s="448">
        <f t="shared" si="9"/>
        <v>0</v>
      </c>
    </row>
    <row r="107" spans="2:22" ht="18" hidden="1" customHeight="1" outlineLevel="2" x14ac:dyDescent="0.25">
      <c r="B107" s="309" t="s">
        <v>149</v>
      </c>
      <c r="C107" s="310" t="s">
        <v>150</v>
      </c>
      <c r="D107" s="325" t="s">
        <v>31</v>
      </c>
      <c r="E107" s="332"/>
      <c r="F107" s="330"/>
      <c r="G107" s="349">
        <f t="shared" si="10"/>
        <v>0</v>
      </c>
      <c r="H107" s="332"/>
      <c r="I107" s="330"/>
      <c r="J107" s="349">
        <f t="shared" si="11"/>
        <v>0</v>
      </c>
      <c r="K107" s="332"/>
      <c r="L107" s="330"/>
      <c r="M107" s="349">
        <f t="shared" si="12"/>
        <v>0</v>
      </c>
      <c r="N107" s="332">
        <v>0</v>
      </c>
      <c r="O107" s="330">
        <v>0</v>
      </c>
      <c r="P107" s="349">
        <f t="shared" si="13"/>
        <v>0</v>
      </c>
      <c r="Q107" s="352">
        <f>'Корректировка тарифа'!I116</f>
        <v>0</v>
      </c>
      <c r="R107" s="348">
        <f>'Корректировка тарифа'!J116</f>
        <v>0</v>
      </c>
      <c r="S107" s="349">
        <f t="shared" si="14"/>
        <v>0</v>
      </c>
      <c r="T107" s="448">
        <f t="shared" si="16"/>
        <v>0</v>
      </c>
      <c r="U107" s="448">
        <f t="shared" si="15"/>
        <v>0</v>
      </c>
      <c r="V107" s="448">
        <f t="shared" si="9"/>
        <v>0</v>
      </c>
    </row>
    <row r="108" spans="2:22" ht="18" hidden="1" customHeight="1" outlineLevel="2" x14ac:dyDescent="0.25">
      <c r="B108" s="309" t="s">
        <v>151</v>
      </c>
      <c r="C108" s="310" t="s">
        <v>152</v>
      </c>
      <c r="D108" s="325" t="s">
        <v>31</v>
      </c>
      <c r="E108" s="332"/>
      <c r="F108" s="330"/>
      <c r="G108" s="349">
        <f t="shared" si="10"/>
        <v>0</v>
      </c>
      <c r="H108" s="332"/>
      <c r="I108" s="330"/>
      <c r="J108" s="349">
        <f t="shared" si="11"/>
        <v>0</v>
      </c>
      <c r="K108" s="332"/>
      <c r="L108" s="330"/>
      <c r="M108" s="349">
        <f t="shared" si="12"/>
        <v>0</v>
      </c>
      <c r="N108" s="332">
        <v>0</v>
      </c>
      <c r="O108" s="330">
        <v>0</v>
      </c>
      <c r="P108" s="349">
        <f t="shared" si="13"/>
        <v>0</v>
      </c>
      <c r="Q108" s="352">
        <f>'Корректировка тарифа'!I117</f>
        <v>0</v>
      </c>
      <c r="R108" s="348">
        <f>'Корректировка тарифа'!J117</f>
        <v>0</v>
      </c>
      <c r="S108" s="349">
        <f t="shared" si="14"/>
        <v>0</v>
      </c>
      <c r="T108" s="448">
        <f t="shared" si="16"/>
        <v>0</v>
      </c>
      <c r="U108" s="448">
        <f t="shared" si="15"/>
        <v>0</v>
      </c>
      <c r="V108" s="448">
        <f t="shared" si="9"/>
        <v>0</v>
      </c>
    </row>
    <row r="109" spans="2:22" ht="18" hidden="1" customHeight="1" outlineLevel="2" x14ac:dyDescent="0.25">
      <c r="B109" s="309" t="s">
        <v>153</v>
      </c>
      <c r="C109" s="310" t="s">
        <v>154</v>
      </c>
      <c r="D109" s="325" t="s">
        <v>31</v>
      </c>
      <c r="E109" s="332"/>
      <c r="F109" s="330"/>
      <c r="G109" s="349">
        <f t="shared" si="10"/>
        <v>0</v>
      </c>
      <c r="H109" s="332"/>
      <c r="I109" s="330"/>
      <c r="J109" s="349">
        <f t="shared" si="11"/>
        <v>0</v>
      </c>
      <c r="K109" s="332"/>
      <c r="L109" s="330"/>
      <c r="M109" s="349">
        <f t="shared" si="12"/>
        <v>0</v>
      </c>
      <c r="N109" s="332">
        <v>0</v>
      </c>
      <c r="O109" s="330">
        <v>0</v>
      </c>
      <c r="P109" s="349">
        <f t="shared" si="13"/>
        <v>0</v>
      </c>
      <c r="Q109" s="352">
        <f>'Корректировка тарифа'!I118</f>
        <v>0</v>
      </c>
      <c r="R109" s="348">
        <f>'Корректировка тарифа'!J118</f>
        <v>0</v>
      </c>
      <c r="S109" s="349">
        <f t="shared" si="14"/>
        <v>0</v>
      </c>
      <c r="T109" s="448">
        <f t="shared" si="16"/>
        <v>0</v>
      </c>
      <c r="U109" s="448">
        <f t="shared" si="15"/>
        <v>0</v>
      </c>
      <c r="V109" s="448">
        <f t="shared" si="9"/>
        <v>0</v>
      </c>
    </row>
    <row r="110" spans="2:22" ht="18" hidden="1" customHeight="1" outlineLevel="2" x14ac:dyDescent="0.25">
      <c r="B110" s="309" t="s">
        <v>155</v>
      </c>
      <c r="C110" s="310" t="s">
        <v>156</v>
      </c>
      <c r="D110" s="325" t="s">
        <v>31</v>
      </c>
      <c r="E110" s="332"/>
      <c r="F110" s="330"/>
      <c r="G110" s="349">
        <f t="shared" si="10"/>
        <v>0</v>
      </c>
      <c r="H110" s="332"/>
      <c r="I110" s="330"/>
      <c r="J110" s="349">
        <f t="shared" si="11"/>
        <v>0</v>
      </c>
      <c r="K110" s="332"/>
      <c r="L110" s="330"/>
      <c r="M110" s="349">
        <f t="shared" si="12"/>
        <v>0</v>
      </c>
      <c r="N110" s="332">
        <v>0</v>
      </c>
      <c r="O110" s="330">
        <v>0</v>
      </c>
      <c r="P110" s="349">
        <f t="shared" si="13"/>
        <v>0</v>
      </c>
      <c r="Q110" s="352">
        <f>'Корректировка тарифа'!I119</f>
        <v>0</v>
      </c>
      <c r="R110" s="348">
        <f>'Корректировка тарифа'!J119</f>
        <v>0</v>
      </c>
      <c r="S110" s="349">
        <f t="shared" si="14"/>
        <v>0</v>
      </c>
      <c r="T110" s="448">
        <f t="shared" si="16"/>
        <v>0</v>
      </c>
      <c r="U110" s="448">
        <f t="shared" si="15"/>
        <v>0</v>
      </c>
      <c r="V110" s="448">
        <f t="shared" si="9"/>
        <v>0</v>
      </c>
    </row>
    <row r="111" spans="2:22" ht="18" hidden="1" customHeight="1" outlineLevel="2" x14ac:dyDescent="0.25">
      <c r="B111" s="309" t="s">
        <v>157</v>
      </c>
      <c r="C111" s="310" t="s">
        <v>158</v>
      </c>
      <c r="D111" s="325" t="s">
        <v>31</v>
      </c>
      <c r="E111" s="332"/>
      <c r="F111" s="330"/>
      <c r="G111" s="349">
        <f t="shared" si="10"/>
        <v>0</v>
      </c>
      <c r="H111" s="332"/>
      <c r="I111" s="330"/>
      <c r="J111" s="349">
        <f t="shared" si="11"/>
        <v>0</v>
      </c>
      <c r="K111" s="332"/>
      <c r="L111" s="330"/>
      <c r="M111" s="349">
        <f t="shared" si="12"/>
        <v>0</v>
      </c>
      <c r="N111" s="332">
        <v>0</v>
      </c>
      <c r="O111" s="330">
        <v>0</v>
      </c>
      <c r="P111" s="349">
        <f t="shared" si="13"/>
        <v>0</v>
      </c>
      <c r="Q111" s="352">
        <f>'Корректировка тарифа'!I120</f>
        <v>0</v>
      </c>
      <c r="R111" s="348">
        <f>'Корректировка тарифа'!J120</f>
        <v>0</v>
      </c>
      <c r="S111" s="349">
        <f t="shared" si="14"/>
        <v>0</v>
      </c>
      <c r="T111" s="448">
        <f t="shared" si="16"/>
        <v>0</v>
      </c>
      <c r="U111" s="448">
        <f t="shared" si="15"/>
        <v>0</v>
      </c>
      <c r="V111" s="448">
        <f t="shared" si="9"/>
        <v>0</v>
      </c>
    </row>
    <row r="112" spans="2:22" ht="18" hidden="1" customHeight="1" outlineLevel="2" x14ac:dyDescent="0.25">
      <c r="B112" s="309" t="s">
        <v>159</v>
      </c>
      <c r="C112" s="310" t="s">
        <v>160</v>
      </c>
      <c r="D112" s="325" t="s">
        <v>31</v>
      </c>
      <c r="E112" s="332"/>
      <c r="F112" s="330"/>
      <c r="G112" s="349">
        <f t="shared" si="10"/>
        <v>0</v>
      </c>
      <c r="H112" s="332"/>
      <c r="I112" s="330"/>
      <c r="J112" s="349">
        <f t="shared" si="11"/>
        <v>0</v>
      </c>
      <c r="K112" s="332"/>
      <c r="L112" s="330"/>
      <c r="M112" s="349">
        <f t="shared" si="12"/>
        <v>0</v>
      </c>
      <c r="N112" s="332">
        <v>0</v>
      </c>
      <c r="O112" s="330">
        <v>0</v>
      </c>
      <c r="P112" s="349">
        <f t="shared" si="13"/>
        <v>0</v>
      </c>
      <c r="Q112" s="352">
        <f>'Корректировка тарифа'!I121</f>
        <v>0</v>
      </c>
      <c r="R112" s="348">
        <f>'Корректировка тарифа'!J121</f>
        <v>0</v>
      </c>
      <c r="S112" s="349">
        <f t="shared" si="14"/>
        <v>0</v>
      </c>
      <c r="T112" s="448">
        <f t="shared" si="16"/>
        <v>0</v>
      </c>
      <c r="U112" s="448">
        <f t="shared" si="15"/>
        <v>0</v>
      </c>
      <c r="V112" s="448">
        <f t="shared" si="9"/>
        <v>0</v>
      </c>
    </row>
    <row r="113" spans="2:22" ht="18" hidden="1" customHeight="1" outlineLevel="2" x14ac:dyDescent="0.25">
      <c r="B113" s="309" t="s">
        <v>161</v>
      </c>
      <c r="C113" s="310" t="s">
        <v>162</v>
      </c>
      <c r="D113" s="325" t="s">
        <v>31</v>
      </c>
      <c r="E113" s="332"/>
      <c r="F113" s="330"/>
      <c r="G113" s="349">
        <f t="shared" si="10"/>
        <v>0</v>
      </c>
      <c r="H113" s="332"/>
      <c r="I113" s="330"/>
      <c r="J113" s="349">
        <f t="shared" si="11"/>
        <v>0</v>
      </c>
      <c r="K113" s="332"/>
      <c r="L113" s="330"/>
      <c r="M113" s="349">
        <f t="shared" si="12"/>
        <v>0</v>
      </c>
      <c r="N113" s="332">
        <v>0</v>
      </c>
      <c r="O113" s="330">
        <v>0</v>
      </c>
      <c r="P113" s="349">
        <f t="shared" si="13"/>
        <v>0</v>
      </c>
      <c r="Q113" s="352">
        <f>'Корректировка тарифа'!I122</f>
        <v>0</v>
      </c>
      <c r="R113" s="348">
        <f>'Корректировка тарифа'!J122</f>
        <v>0</v>
      </c>
      <c r="S113" s="349">
        <f t="shared" si="14"/>
        <v>0</v>
      </c>
      <c r="T113" s="448">
        <f t="shared" si="16"/>
        <v>0</v>
      </c>
      <c r="U113" s="448">
        <f t="shared" si="15"/>
        <v>0</v>
      </c>
      <c r="V113" s="448">
        <f t="shared" si="9"/>
        <v>0</v>
      </c>
    </row>
    <row r="114" spans="2:22" ht="18" hidden="1" customHeight="1" outlineLevel="1" x14ac:dyDescent="0.25">
      <c r="B114" s="309" t="s">
        <v>163</v>
      </c>
      <c r="C114" s="310" t="s">
        <v>164</v>
      </c>
      <c r="D114" s="325" t="s">
        <v>31</v>
      </c>
      <c r="E114" s="332"/>
      <c r="F114" s="330"/>
      <c r="G114" s="349">
        <f t="shared" si="10"/>
        <v>0</v>
      </c>
      <c r="H114" s="332"/>
      <c r="I114" s="330"/>
      <c r="J114" s="349">
        <f t="shared" si="11"/>
        <v>0</v>
      </c>
      <c r="K114" s="332"/>
      <c r="L114" s="330"/>
      <c r="M114" s="349">
        <f t="shared" si="12"/>
        <v>0</v>
      </c>
      <c r="N114" s="332">
        <v>11.123335181217824</v>
      </c>
      <c r="O114" s="330">
        <v>11.285</v>
      </c>
      <c r="P114" s="349">
        <f t="shared" si="13"/>
        <v>-0.16166481878217631</v>
      </c>
      <c r="Q114" s="352">
        <f>'Корректировка тарифа'!I123</f>
        <v>11.44</v>
      </c>
      <c r="R114" s="348">
        <f>'Корректировка тарифа'!J123</f>
        <v>0</v>
      </c>
      <c r="S114" s="349">
        <f t="shared" si="14"/>
        <v>11.44</v>
      </c>
      <c r="T114" s="448">
        <f t="shared" si="16"/>
        <v>22.563335181217823</v>
      </c>
      <c r="U114" s="448">
        <f t="shared" si="15"/>
        <v>11.285</v>
      </c>
      <c r="V114" s="448">
        <f t="shared" si="9"/>
        <v>-11.278335181217823</v>
      </c>
    </row>
    <row r="115" spans="2:22" ht="18" hidden="1" customHeight="1" outlineLevel="2" x14ac:dyDescent="0.25">
      <c r="B115" s="301" t="s">
        <v>166</v>
      </c>
      <c r="C115" s="310" t="s">
        <v>167</v>
      </c>
      <c r="D115" s="325" t="s">
        <v>31</v>
      </c>
      <c r="E115" s="332"/>
      <c r="F115" s="330"/>
      <c r="G115" s="349">
        <f t="shared" si="10"/>
        <v>0</v>
      </c>
      <c r="H115" s="332"/>
      <c r="I115" s="330"/>
      <c r="J115" s="349">
        <f t="shared" si="11"/>
        <v>0</v>
      </c>
      <c r="K115" s="332"/>
      <c r="L115" s="330"/>
      <c r="M115" s="349">
        <f t="shared" si="12"/>
        <v>0</v>
      </c>
      <c r="N115" s="332">
        <v>11.123335181217824</v>
      </c>
      <c r="O115" s="330">
        <v>11.285</v>
      </c>
      <c r="P115" s="349">
        <f t="shared" si="13"/>
        <v>-0.16166481878217631</v>
      </c>
      <c r="Q115" s="352">
        <f>'Корректировка тарифа'!I124</f>
        <v>11.44</v>
      </c>
      <c r="R115" s="348">
        <f>'Корректировка тарифа'!J124</f>
        <v>0</v>
      </c>
      <c r="S115" s="349">
        <f t="shared" si="14"/>
        <v>11.44</v>
      </c>
      <c r="T115" s="448">
        <f t="shared" si="16"/>
        <v>22.563335181217823</v>
      </c>
      <c r="U115" s="448">
        <f t="shared" si="15"/>
        <v>11.285</v>
      </c>
      <c r="V115" s="448">
        <f t="shared" si="9"/>
        <v>-11.278335181217823</v>
      </c>
    </row>
    <row r="116" spans="2:22" ht="18" hidden="1" customHeight="1" outlineLevel="2" x14ac:dyDescent="0.25">
      <c r="B116" s="301" t="s">
        <v>169</v>
      </c>
      <c r="C116" s="310" t="s">
        <v>170</v>
      </c>
      <c r="D116" s="325" t="s">
        <v>31</v>
      </c>
      <c r="E116" s="332"/>
      <c r="F116" s="330"/>
      <c r="G116" s="349">
        <f t="shared" si="10"/>
        <v>0</v>
      </c>
      <c r="H116" s="332"/>
      <c r="I116" s="330"/>
      <c r="J116" s="349">
        <f t="shared" si="11"/>
        <v>0</v>
      </c>
      <c r="K116" s="332"/>
      <c r="L116" s="330"/>
      <c r="M116" s="349">
        <f t="shared" si="12"/>
        <v>0</v>
      </c>
      <c r="N116" s="332">
        <v>0</v>
      </c>
      <c r="O116" s="330">
        <v>0</v>
      </c>
      <c r="P116" s="349">
        <f t="shared" si="13"/>
        <v>0</v>
      </c>
      <c r="Q116" s="352">
        <f>'Корректировка тарифа'!I125</f>
        <v>0</v>
      </c>
      <c r="R116" s="348">
        <f>'Корректировка тарифа'!J125</f>
        <v>0</v>
      </c>
      <c r="S116" s="349">
        <f t="shared" si="14"/>
        <v>0</v>
      </c>
      <c r="T116" s="448">
        <f t="shared" si="16"/>
        <v>0</v>
      </c>
      <c r="U116" s="448">
        <f t="shared" si="15"/>
        <v>0</v>
      </c>
      <c r="V116" s="448">
        <f t="shared" si="9"/>
        <v>0</v>
      </c>
    </row>
    <row r="117" spans="2:22" ht="18" hidden="1" customHeight="1" outlineLevel="2" x14ac:dyDescent="0.25">
      <c r="B117" s="301" t="s">
        <v>171</v>
      </c>
      <c r="C117" s="310" t="s">
        <v>172</v>
      </c>
      <c r="D117" s="325" t="s">
        <v>31</v>
      </c>
      <c r="E117" s="332"/>
      <c r="F117" s="330"/>
      <c r="G117" s="349">
        <f t="shared" si="10"/>
        <v>0</v>
      </c>
      <c r="H117" s="332"/>
      <c r="I117" s="330"/>
      <c r="J117" s="349">
        <f t="shared" si="11"/>
        <v>0</v>
      </c>
      <c r="K117" s="332"/>
      <c r="L117" s="330"/>
      <c r="M117" s="349">
        <f t="shared" si="12"/>
        <v>0</v>
      </c>
      <c r="N117" s="332">
        <v>0</v>
      </c>
      <c r="O117" s="330">
        <v>0</v>
      </c>
      <c r="P117" s="349">
        <f t="shared" si="13"/>
        <v>0</v>
      </c>
      <c r="Q117" s="352">
        <f>'Корректировка тарифа'!I126</f>
        <v>0</v>
      </c>
      <c r="R117" s="348">
        <f>'Корректировка тарифа'!J126</f>
        <v>0</v>
      </c>
      <c r="S117" s="349">
        <f t="shared" si="14"/>
        <v>0</v>
      </c>
      <c r="T117" s="448">
        <f t="shared" si="16"/>
        <v>0</v>
      </c>
      <c r="U117" s="448">
        <f t="shared" si="15"/>
        <v>0</v>
      </c>
      <c r="V117" s="448">
        <f t="shared" si="9"/>
        <v>0</v>
      </c>
    </row>
    <row r="118" spans="2:22" ht="18" hidden="1" customHeight="1" outlineLevel="2" x14ac:dyDescent="0.25">
      <c r="B118" s="301" t="s">
        <v>173</v>
      </c>
      <c r="C118" s="310" t="s">
        <v>174</v>
      </c>
      <c r="D118" s="325" t="s">
        <v>31</v>
      </c>
      <c r="E118" s="332"/>
      <c r="F118" s="330"/>
      <c r="G118" s="349">
        <f t="shared" si="10"/>
        <v>0</v>
      </c>
      <c r="H118" s="332"/>
      <c r="I118" s="330"/>
      <c r="J118" s="349">
        <f t="shared" si="11"/>
        <v>0</v>
      </c>
      <c r="K118" s="332"/>
      <c r="L118" s="330"/>
      <c r="M118" s="349">
        <f t="shared" si="12"/>
        <v>0</v>
      </c>
      <c r="N118" s="332">
        <v>0</v>
      </c>
      <c r="O118" s="330">
        <v>0</v>
      </c>
      <c r="P118" s="349">
        <f t="shared" si="13"/>
        <v>0</v>
      </c>
      <c r="Q118" s="352">
        <f>'Корректировка тарифа'!I127</f>
        <v>0</v>
      </c>
      <c r="R118" s="348">
        <f>'Корректировка тарифа'!J127</f>
        <v>0</v>
      </c>
      <c r="S118" s="349">
        <f t="shared" si="14"/>
        <v>0</v>
      </c>
      <c r="T118" s="448">
        <f t="shared" si="16"/>
        <v>0</v>
      </c>
      <c r="U118" s="448">
        <f t="shared" si="15"/>
        <v>0</v>
      </c>
      <c r="V118" s="448">
        <f t="shared" si="9"/>
        <v>0</v>
      </c>
    </row>
    <row r="119" spans="2:22" ht="18" hidden="1" customHeight="1" outlineLevel="2" x14ac:dyDescent="0.25">
      <c r="B119" s="301" t="s">
        <v>175</v>
      </c>
      <c r="C119" s="310" t="s">
        <v>176</v>
      </c>
      <c r="D119" s="325" t="s">
        <v>31</v>
      </c>
      <c r="E119" s="332"/>
      <c r="F119" s="330"/>
      <c r="G119" s="349">
        <f t="shared" si="10"/>
        <v>0</v>
      </c>
      <c r="H119" s="332"/>
      <c r="I119" s="330"/>
      <c r="J119" s="349">
        <f t="shared" si="11"/>
        <v>0</v>
      </c>
      <c r="K119" s="332"/>
      <c r="L119" s="330"/>
      <c r="M119" s="349">
        <f t="shared" si="12"/>
        <v>0</v>
      </c>
      <c r="N119" s="332">
        <v>0</v>
      </c>
      <c r="O119" s="330">
        <v>0</v>
      </c>
      <c r="P119" s="349">
        <f t="shared" si="13"/>
        <v>0</v>
      </c>
      <c r="Q119" s="352">
        <f>'Корректировка тарифа'!I128</f>
        <v>0</v>
      </c>
      <c r="R119" s="348">
        <f>'Корректировка тарифа'!J128</f>
        <v>0</v>
      </c>
      <c r="S119" s="349">
        <f t="shared" si="14"/>
        <v>0</v>
      </c>
      <c r="T119" s="448">
        <f t="shared" si="16"/>
        <v>0</v>
      </c>
      <c r="U119" s="448">
        <f t="shared" si="15"/>
        <v>0</v>
      </c>
      <c r="V119" s="448">
        <f t="shared" si="9"/>
        <v>0</v>
      </c>
    </row>
    <row r="120" spans="2:22" ht="18" hidden="1" customHeight="1" outlineLevel="2" x14ac:dyDescent="0.25">
      <c r="B120" s="301" t="s">
        <v>177</v>
      </c>
      <c r="C120" s="310" t="s">
        <v>178</v>
      </c>
      <c r="D120" s="325" t="s">
        <v>31</v>
      </c>
      <c r="E120" s="332"/>
      <c r="F120" s="330"/>
      <c r="G120" s="349">
        <f t="shared" si="10"/>
        <v>0</v>
      </c>
      <c r="H120" s="332"/>
      <c r="I120" s="330"/>
      <c r="J120" s="349">
        <f t="shared" si="11"/>
        <v>0</v>
      </c>
      <c r="K120" s="332"/>
      <c r="L120" s="330"/>
      <c r="M120" s="349">
        <f t="shared" si="12"/>
        <v>0</v>
      </c>
      <c r="N120" s="332">
        <v>0</v>
      </c>
      <c r="O120" s="330">
        <v>0</v>
      </c>
      <c r="P120" s="349">
        <f t="shared" si="13"/>
        <v>0</v>
      </c>
      <c r="Q120" s="352">
        <f>'Корректировка тарифа'!I129</f>
        <v>0</v>
      </c>
      <c r="R120" s="348">
        <f>'Корректировка тарифа'!J129</f>
        <v>0</v>
      </c>
      <c r="S120" s="349">
        <f t="shared" si="14"/>
        <v>0</v>
      </c>
      <c r="T120" s="448">
        <f t="shared" si="16"/>
        <v>0</v>
      </c>
      <c r="U120" s="448">
        <f t="shared" si="15"/>
        <v>0</v>
      </c>
      <c r="V120" s="448">
        <f t="shared" si="9"/>
        <v>0</v>
      </c>
    </row>
    <row r="121" spans="2:22" ht="18" hidden="1" customHeight="1" outlineLevel="2" x14ac:dyDescent="0.25">
      <c r="B121" s="301" t="s">
        <v>179</v>
      </c>
      <c r="C121" s="310" t="s">
        <v>180</v>
      </c>
      <c r="D121" s="325" t="s">
        <v>31</v>
      </c>
      <c r="E121" s="332"/>
      <c r="F121" s="330"/>
      <c r="G121" s="349">
        <f t="shared" si="10"/>
        <v>0</v>
      </c>
      <c r="H121" s="332"/>
      <c r="I121" s="330"/>
      <c r="J121" s="349">
        <f t="shared" si="11"/>
        <v>0</v>
      </c>
      <c r="K121" s="332"/>
      <c r="L121" s="330"/>
      <c r="M121" s="349">
        <f t="shared" si="12"/>
        <v>0</v>
      </c>
      <c r="N121" s="332">
        <v>0</v>
      </c>
      <c r="O121" s="330">
        <v>0</v>
      </c>
      <c r="P121" s="349">
        <f t="shared" si="13"/>
        <v>0</v>
      </c>
      <c r="Q121" s="352">
        <f>'Корректировка тарифа'!I130</f>
        <v>0</v>
      </c>
      <c r="R121" s="348">
        <f>'Корректировка тарифа'!J130</f>
        <v>0</v>
      </c>
      <c r="S121" s="349">
        <f t="shared" si="14"/>
        <v>0</v>
      </c>
      <c r="T121" s="448">
        <f t="shared" si="16"/>
        <v>0</v>
      </c>
      <c r="U121" s="448">
        <f t="shared" si="15"/>
        <v>0</v>
      </c>
      <c r="V121" s="448">
        <f t="shared" si="9"/>
        <v>0</v>
      </c>
    </row>
    <row r="122" spans="2:22" ht="18" hidden="1" customHeight="1" outlineLevel="1" x14ac:dyDescent="0.25">
      <c r="B122" s="309" t="s">
        <v>181</v>
      </c>
      <c r="C122" s="310" t="s">
        <v>182</v>
      </c>
      <c r="D122" s="325" t="s">
        <v>31</v>
      </c>
      <c r="E122" s="332"/>
      <c r="F122" s="330"/>
      <c r="G122" s="349">
        <f t="shared" si="10"/>
        <v>0</v>
      </c>
      <c r="H122" s="332"/>
      <c r="I122" s="330"/>
      <c r="J122" s="349">
        <f t="shared" si="11"/>
        <v>0</v>
      </c>
      <c r="K122" s="332"/>
      <c r="L122" s="330"/>
      <c r="M122" s="349">
        <f t="shared" si="12"/>
        <v>0</v>
      </c>
      <c r="N122" s="332">
        <v>0</v>
      </c>
      <c r="O122" s="330">
        <v>0</v>
      </c>
      <c r="P122" s="349">
        <f t="shared" si="13"/>
        <v>0</v>
      </c>
      <c r="Q122" s="352">
        <f>'Корректировка тарифа'!I131</f>
        <v>0</v>
      </c>
      <c r="R122" s="348">
        <f>'Корректировка тарифа'!J131</f>
        <v>0</v>
      </c>
      <c r="S122" s="349">
        <f t="shared" si="14"/>
        <v>0</v>
      </c>
      <c r="T122" s="448">
        <f t="shared" si="16"/>
        <v>0</v>
      </c>
      <c r="U122" s="448">
        <f t="shared" si="15"/>
        <v>0</v>
      </c>
      <c r="V122" s="448">
        <f t="shared" si="9"/>
        <v>0</v>
      </c>
    </row>
    <row r="123" spans="2:22" ht="20.25" hidden="1" customHeight="1" outlineLevel="2" x14ac:dyDescent="0.25">
      <c r="B123" s="301" t="s">
        <v>183</v>
      </c>
      <c r="C123" s="310" t="s">
        <v>184</v>
      </c>
      <c r="D123" s="325" t="s">
        <v>31</v>
      </c>
      <c r="E123" s="332"/>
      <c r="F123" s="330"/>
      <c r="G123" s="349">
        <f t="shared" si="10"/>
        <v>0</v>
      </c>
      <c r="H123" s="332"/>
      <c r="I123" s="330"/>
      <c r="J123" s="349">
        <f t="shared" si="11"/>
        <v>0</v>
      </c>
      <c r="K123" s="332"/>
      <c r="L123" s="330"/>
      <c r="M123" s="349">
        <f t="shared" si="12"/>
        <v>0</v>
      </c>
      <c r="N123" s="332">
        <v>0</v>
      </c>
      <c r="O123" s="330">
        <v>0</v>
      </c>
      <c r="P123" s="349">
        <f t="shared" si="13"/>
        <v>0</v>
      </c>
      <c r="Q123" s="352">
        <f>'Корректировка тарифа'!I132</f>
        <v>0</v>
      </c>
      <c r="R123" s="348">
        <f>'Корректировка тарифа'!J132</f>
        <v>0</v>
      </c>
      <c r="S123" s="349">
        <f t="shared" si="14"/>
        <v>0</v>
      </c>
      <c r="T123" s="448">
        <f t="shared" si="16"/>
        <v>0</v>
      </c>
      <c r="U123" s="448">
        <f t="shared" si="15"/>
        <v>0</v>
      </c>
      <c r="V123" s="448">
        <f t="shared" si="9"/>
        <v>0</v>
      </c>
    </row>
    <row r="124" spans="2:22" ht="18" hidden="1" customHeight="1" outlineLevel="2" x14ac:dyDescent="0.25">
      <c r="B124" s="301" t="s">
        <v>185</v>
      </c>
      <c r="C124" s="310" t="s">
        <v>186</v>
      </c>
      <c r="D124" s="325" t="s">
        <v>31</v>
      </c>
      <c r="E124" s="332"/>
      <c r="F124" s="330"/>
      <c r="G124" s="349">
        <f t="shared" si="10"/>
        <v>0</v>
      </c>
      <c r="H124" s="332"/>
      <c r="I124" s="330"/>
      <c r="J124" s="349">
        <f t="shared" si="11"/>
        <v>0</v>
      </c>
      <c r="K124" s="332"/>
      <c r="L124" s="330"/>
      <c r="M124" s="349">
        <f t="shared" si="12"/>
        <v>0</v>
      </c>
      <c r="N124" s="332">
        <v>0</v>
      </c>
      <c r="O124" s="330">
        <v>0</v>
      </c>
      <c r="P124" s="349">
        <f t="shared" si="13"/>
        <v>0</v>
      </c>
      <c r="Q124" s="352">
        <f>'Корректировка тарифа'!I133</f>
        <v>0</v>
      </c>
      <c r="R124" s="348">
        <f>'Корректировка тарифа'!J133</f>
        <v>0</v>
      </c>
      <c r="S124" s="349">
        <f t="shared" si="14"/>
        <v>0</v>
      </c>
      <c r="T124" s="448">
        <f t="shared" si="16"/>
        <v>0</v>
      </c>
      <c r="U124" s="448">
        <f t="shared" si="15"/>
        <v>0</v>
      </c>
      <c r="V124" s="448">
        <f t="shared" si="9"/>
        <v>0</v>
      </c>
    </row>
    <row r="125" spans="2:22" ht="18" hidden="1" customHeight="1" outlineLevel="2" x14ac:dyDescent="0.25">
      <c r="B125" s="301" t="s">
        <v>187</v>
      </c>
      <c r="C125" s="310" t="s">
        <v>188</v>
      </c>
      <c r="D125" s="325" t="s">
        <v>31</v>
      </c>
      <c r="E125" s="332"/>
      <c r="F125" s="330"/>
      <c r="G125" s="349">
        <f t="shared" si="10"/>
        <v>0</v>
      </c>
      <c r="H125" s="332"/>
      <c r="I125" s="330"/>
      <c r="J125" s="349">
        <f t="shared" si="11"/>
        <v>0</v>
      </c>
      <c r="K125" s="332"/>
      <c r="L125" s="330"/>
      <c r="M125" s="349">
        <f t="shared" si="12"/>
        <v>0</v>
      </c>
      <c r="N125" s="332">
        <v>0</v>
      </c>
      <c r="O125" s="330">
        <v>0</v>
      </c>
      <c r="P125" s="349">
        <f t="shared" si="13"/>
        <v>0</v>
      </c>
      <c r="Q125" s="352">
        <f>'Корректировка тарифа'!I134</f>
        <v>0</v>
      </c>
      <c r="R125" s="348">
        <f>'Корректировка тарифа'!J134</f>
        <v>0</v>
      </c>
      <c r="S125" s="349">
        <f t="shared" si="14"/>
        <v>0</v>
      </c>
      <c r="T125" s="448">
        <f t="shared" si="16"/>
        <v>0</v>
      </c>
      <c r="U125" s="448">
        <f t="shared" si="15"/>
        <v>0</v>
      </c>
      <c r="V125" s="448">
        <f t="shared" si="9"/>
        <v>0</v>
      </c>
    </row>
    <row r="126" spans="2:22" ht="18" hidden="1" customHeight="1" outlineLevel="2" x14ac:dyDescent="0.25">
      <c r="B126" s="301" t="s">
        <v>189</v>
      </c>
      <c r="C126" s="310" t="s">
        <v>190</v>
      </c>
      <c r="D126" s="325" t="s">
        <v>31</v>
      </c>
      <c r="E126" s="332"/>
      <c r="F126" s="330"/>
      <c r="G126" s="349">
        <f t="shared" si="10"/>
        <v>0</v>
      </c>
      <c r="H126" s="332"/>
      <c r="I126" s="330"/>
      <c r="J126" s="349">
        <f t="shared" si="11"/>
        <v>0</v>
      </c>
      <c r="K126" s="332"/>
      <c r="L126" s="330"/>
      <c r="M126" s="349">
        <f t="shared" si="12"/>
        <v>0</v>
      </c>
      <c r="N126" s="332">
        <v>0</v>
      </c>
      <c r="O126" s="330">
        <v>0</v>
      </c>
      <c r="P126" s="349">
        <f t="shared" si="13"/>
        <v>0</v>
      </c>
      <c r="Q126" s="352">
        <f>'Корректировка тарифа'!I135</f>
        <v>0</v>
      </c>
      <c r="R126" s="348">
        <f>'Корректировка тарифа'!J135</f>
        <v>0</v>
      </c>
      <c r="S126" s="349">
        <f t="shared" si="14"/>
        <v>0</v>
      </c>
      <c r="T126" s="448">
        <f t="shared" si="16"/>
        <v>0</v>
      </c>
      <c r="U126" s="448">
        <f t="shared" si="15"/>
        <v>0</v>
      </c>
      <c r="V126" s="448">
        <f t="shared" si="9"/>
        <v>0</v>
      </c>
    </row>
    <row r="127" spans="2:22" ht="18" hidden="1" customHeight="1" outlineLevel="1" x14ac:dyDescent="0.25">
      <c r="B127" s="309" t="s">
        <v>191</v>
      </c>
      <c r="C127" s="310" t="s">
        <v>107</v>
      </c>
      <c r="D127" s="325" t="s">
        <v>31</v>
      </c>
      <c r="E127" s="332"/>
      <c r="F127" s="330"/>
      <c r="G127" s="349">
        <f t="shared" si="10"/>
        <v>0</v>
      </c>
      <c r="H127" s="332"/>
      <c r="I127" s="330"/>
      <c r="J127" s="349">
        <f t="shared" si="11"/>
        <v>0</v>
      </c>
      <c r="K127" s="332"/>
      <c r="L127" s="330"/>
      <c r="M127" s="349">
        <f t="shared" si="12"/>
        <v>0</v>
      </c>
      <c r="N127" s="332">
        <v>0</v>
      </c>
      <c r="O127" s="330">
        <v>0</v>
      </c>
      <c r="P127" s="349">
        <f t="shared" si="13"/>
        <v>0</v>
      </c>
      <c r="Q127" s="352">
        <f>'Корректировка тарифа'!I136</f>
        <v>0</v>
      </c>
      <c r="R127" s="348">
        <f>'Корректировка тарифа'!J136</f>
        <v>0</v>
      </c>
      <c r="S127" s="349">
        <f t="shared" si="14"/>
        <v>0</v>
      </c>
      <c r="T127" s="448">
        <f t="shared" si="16"/>
        <v>0</v>
      </c>
      <c r="U127" s="448">
        <f t="shared" si="15"/>
        <v>0</v>
      </c>
      <c r="V127" s="448">
        <f t="shared" si="9"/>
        <v>0</v>
      </c>
    </row>
    <row r="128" spans="2:22" ht="18" hidden="1" customHeight="1" outlineLevel="1" x14ac:dyDescent="0.25">
      <c r="B128" s="301" t="s">
        <v>192</v>
      </c>
      <c r="C128" s="310" t="s">
        <v>193</v>
      </c>
      <c r="D128" s="325" t="s">
        <v>31</v>
      </c>
      <c r="E128" s="332"/>
      <c r="F128" s="330"/>
      <c r="G128" s="349">
        <f t="shared" ref="G128:G143" si="17">E128-F128</f>
        <v>0</v>
      </c>
      <c r="H128" s="332"/>
      <c r="I128" s="330"/>
      <c r="J128" s="349">
        <f t="shared" si="11"/>
        <v>0</v>
      </c>
      <c r="K128" s="332"/>
      <c r="L128" s="330"/>
      <c r="M128" s="349">
        <f t="shared" si="12"/>
        <v>0</v>
      </c>
      <c r="N128" s="332">
        <v>0</v>
      </c>
      <c r="O128" s="330">
        <v>0</v>
      </c>
      <c r="P128" s="349">
        <f t="shared" si="13"/>
        <v>0</v>
      </c>
      <c r="Q128" s="352">
        <f>'Корректировка тарифа'!I137</f>
        <v>0</v>
      </c>
      <c r="R128" s="348">
        <f>'Корректировка тарифа'!J137</f>
        <v>0</v>
      </c>
      <c r="S128" s="349">
        <f t="shared" si="14"/>
        <v>0</v>
      </c>
      <c r="T128" s="448">
        <f t="shared" si="16"/>
        <v>0</v>
      </c>
      <c r="U128" s="448">
        <f t="shared" si="15"/>
        <v>0</v>
      </c>
      <c r="V128" s="448">
        <f t="shared" ref="V128:V160" si="18">U128-T128</f>
        <v>0</v>
      </c>
    </row>
    <row r="129" spans="2:22" ht="18" hidden="1" customHeight="1" outlineLevel="1" x14ac:dyDescent="0.25">
      <c r="B129" s="301" t="s">
        <v>194</v>
      </c>
      <c r="C129" s="310" t="s">
        <v>195</v>
      </c>
      <c r="D129" s="325" t="s">
        <v>31</v>
      </c>
      <c r="E129" s="332"/>
      <c r="F129" s="330"/>
      <c r="G129" s="349">
        <f t="shared" si="17"/>
        <v>0</v>
      </c>
      <c r="H129" s="332"/>
      <c r="I129" s="330"/>
      <c r="J129" s="349">
        <f t="shared" si="11"/>
        <v>0</v>
      </c>
      <c r="K129" s="332"/>
      <c r="L129" s="330"/>
      <c r="M129" s="349">
        <f t="shared" si="12"/>
        <v>0</v>
      </c>
      <c r="N129" s="332">
        <v>0</v>
      </c>
      <c r="O129" s="330">
        <v>0</v>
      </c>
      <c r="P129" s="349">
        <f t="shared" si="13"/>
        <v>0</v>
      </c>
      <c r="Q129" s="352">
        <f>'Корректировка тарифа'!I138</f>
        <v>0</v>
      </c>
      <c r="R129" s="348">
        <f>'Корректировка тарифа'!J138</f>
        <v>0</v>
      </c>
      <c r="S129" s="349">
        <f t="shared" si="14"/>
        <v>0</v>
      </c>
      <c r="T129" s="448">
        <f t="shared" si="16"/>
        <v>0</v>
      </c>
      <c r="U129" s="448">
        <f t="shared" si="15"/>
        <v>0</v>
      </c>
      <c r="V129" s="448">
        <f t="shared" si="18"/>
        <v>0</v>
      </c>
    </row>
    <row r="130" spans="2:22" ht="18" hidden="1" customHeight="1" outlineLevel="1" x14ac:dyDescent="0.25">
      <c r="B130" s="301" t="s">
        <v>196</v>
      </c>
      <c r="C130" s="310" t="s">
        <v>197</v>
      </c>
      <c r="D130" s="325" t="s">
        <v>31</v>
      </c>
      <c r="E130" s="332"/>
      <c r="F130" s="330"/>
      <c r="G130" s="349">
        <f t="shared" si="17"/>
        <v>0</v>
      </c>
      <c r="H130" s="332"/>
      <c r="I130" s="330"/>
      <c r="J130" s="349">
        <f t="shared" si="11"/>
        <v>0</v>
      </c>
      <c r="K130" s="332"/>
      <c r="L130" s="330"/>
      <c r="M130" s="349">
        <f t="shared" si="12"/>
        <v>0</v>
      </c>
      <c r="N130" s="332">
        <v>0</v>
      </c>
      <c r="O130" s="330">
        <v>0</v>
      </c>
      <c r="P130" s="349">
        <f t="shared" si="13"/>
        <v>0</v>
      </c>
      <c r="Q130" s="352">
        <f>'Корректировка тарифа'!I139</f>
        <v>0</v>
      </c>
      <c r="R130" s="348">
        <f>'Корректировка тарифа'!J139</f>
        <v>0</v>
      </c>
      <c r="S130" s="349">
        <f t="shared" si="14"/>
        <v>0</v>
      </c>
      <c r="T130" s="448">
        <f t="shared" si="16"/>
        <v>0</v>
      </c>
      <c r="U130" s="448">
        <f t="shared" si="15"/>
        <v>0</v>
      </c>
      <c r="V130" s="448">
        <f t="shared" si="18"/>
        <v>0</v>
      </c>
    </row>
    <row r="131" spans="2:22" ht="18" hidden="1" customHeight="1" outlineLevel="1" x14ac:dyDescent="0.25">
      <c r="B131" s="301" t="s">
        <v>198</v>
      </c>
      <c r="C131" s="310" t="s">
        <v>199</v>
      </c>
      <c r="D131" s="325" t="s">
        <v>31</v>
      </c>
      <c r="E131" s="332"/>
      <c r="F131" s="330"/>
      <c r="G131" s="349">
        <f t="shared" si="17"/>
        <v>0</v>
      </c>
      <c r="H131" s="332"/>
      <c r="I131" s="330"/>
      <c r="J131" s="349">
        <f t="shared" si="11"/>
        <v>0</v>
      </c>
      <c r="K131" s="332"/>
      <c r="L131" s="330"/>
      <c r="M131" s="349">
        <f t="shared" si="12"/>
        <v>0</v>
      </c>
      <c r="N131" s="332">
        <v>0</v>
      </c>
      <c r="O131" s="330">
        <v>0</v>
      </c>
      <c r="P131" s="349">
        <f t="shared" si="13"/>
        <v>0</v>
      </c>
      <c r="Q131" s="352">
        <f>'Корректировка тарифа'!I140</f>
        <v>0</v>
      </c>
      <c r="R131" s="348">
        <f>'Корректировка тарифа'!J140</f>
        <v>0</v>
      </c>
      <c r="S131" s="349">
        <f t="shared" si="14"/>
        <v>0</v>
      </c>
      <c r="T131" s="448">
        <f t="shared" si="16"/>
        <v>0</v>
      </c>
      <c r="U131" s="448">
        <f t="shared" si="15"/>
        <v>0</v>
      </c>
      <c r="V131" s="448">
        <f t="shared" si="18"/>
        <v>0</v>
      </c>
    </row>
    <row r="132" spans="2:22" ht="18" hidden="1" customHeight="1" outlineLevel="1" x14ac:dyDescent="0.25">
      <c r="B132" s="301" t="s">
        <v>200</v>
      </c>
      <c r="C132" s="310" t="s">
        <v>201</v>
      </c>
      <c r="D132" s="325" t="s">
        <v>31</v>
      </c>
      <c r="E132" s="332"/>
      <c r="F132" s="330"/>
      <c r="G132" s="349">
        <f t="shared" si="17"/>
        <v>0</v>
      </c>
      <c r="H132" s="332"/>
      <c r="I132" s="330"/>
      <c r="J132" s="349">
        <f t="shared" si="11"/>
        <v>0</v>
      </c>
      <c r="K132" s="332"/>
      <c r="L132" s="330"/>
      <c r="M132" s="349">
        <f t="shared" si="12"/>
        <v>0</v>
      </c>
      <c r="N132" s="332">
        <v>0</v>
      </c>
      <c r="O132" s="330">
        <v>0</v>
      </c>
      <c r="P132" s="349">
        <f t="shared" si="13"/>
        <v>0</v>
      </c>
      <c r="Q132" s="352">
        <f>'Корректировка тарифа'!I141</f>
        <v>0</v>
      </c>
      <c r="R132" s="348">
        <f>'Корректировка тарифа'!J141</f>
        <v>0</v>
      </c>
      <c r="S132" s="349">
        <f t="shared" si="14"/>
        <v>0</v>
      </c>
      <c r="T132" s="448">
        <f t="shared" si="16"/>
        <v>0</v>
      </c>
      <c r="U132" s="448">
        <f t="shared" si="15"/>
        <v>0</v>
      </c>
      <c r="V132" s="448">
        <f t="shared" si="18"/>
        <v>0</v>
      </c>
    </row>
    <row r="133" spans="2:22" ht="18" hidden="1" customHeight="1" outlineLevel="1" x14ac:dyDescent="0.25">
      <c r="B133" s="301" t="s">
        <v>202</v>
      </c>
      <c r="C133" s="310" t="s">
        <v>203</v>
      </c>
      <c r="D133" s="325" t="s">
        <v>31</v>
      </c>
      <c r="E133" s="332"/>
      <c r="F133" s="330"/>
      <c r="G133" s="349">
        <f t="shared" si="17"/>
        <v>0</v>
      </c>
      <c r="H133" s="332"/>
      <c r="I133" s="330"/>
      <c r="J133" s="349">
        <f t="shared" si="11"/>
        <v>0</v>
      </c>
      <c r="K133" s="332"/>
      <c r="L133" s="330"/>
      <c r="M133" s="349">
        <f t="shared" si="12"/>
        <v>0</v>
      </c>
      <c r="N133" s="332">
        <v>0</v>
      </c>
      <c r="O133" s="330">
        <v>0</v>
      </c>
      <c r="P133" s="349">
        <f t="shared" si="13"/>
        <v>0</v>
      </c>
      <c r="Q133" s="352">
        <f>'Корректировка тарифа'!I142</f>
        <v>0</v>
      </c>
      <c r="R133" s="348">
        <f>'Корректировка тарифа'!J142</f>
        <v>0</v>
      </c>
      <c r="S133" s="349">
        <f t="shared" si="14"/>
        <v>0</v>
      </c>
      <c r="T133" s="448">
        <f t="shared" si="16"/>
        <v>0</v>
      </c>
      <c r="U133" s="448">
        <f t="shared" si="15"/>
        <v>0</v>
      </c>
      <c r="V133" s="448">
        <f t="shared" si="18"/>
        <v>0</v>
      </c>
    </row>
    <row r="134" spans="2:22" ht="18" hidden="1" customHeight="1" outlineLevel="1" x14ac:dyDescent="0.25">
      <c r="B134" s="301" t="s">
        <v>204</v>
      </c>
      <c r="C134" s="310" t="s">
        <v>205</v>
      </c>
      <c r="D134" s="325" t="s">
        <v>31</v>
      </c>
      <c r="E134" s="332"/>
      <c r="F134" s="330"/>
      <c r="G134" s="349">
        <f t="shared" si="17"/>
        <v>0</v>
      </c>
      <c r="H134" s="332"/>
      <c r="I134" s="330"/>
      <c r="J134" s="349">
        <f t="shared" si="11"/>
        <v>0</v>
      </c>
      <c r="K134" s="332"/>
      <c r="L134" s="330"/>
      <c r="M134" s="349">
        <f t="shared" si="12"/>
        <v>0</v>
      </c>
      <c r="N134" s="332">
        <v>0</v>
      </c>
      <c r="O134" s="330">
        <v>0</v>
      </c>
      <c r="P134" s="349">
        <f t="shared" si="13"/>
        <v>0</v>
      </c>
      <c r="Q134" s="352">
        <f>'Корректировка тарифа'!I143</f>
        <v>0</v>
      </c>
      <c r="R134" s="348">
        <f>'Корректировка тарифа'!J143</f>
        <v>0</v>
      </c>
      <c r="S134" s="349">
        <f t="shared" si="14"/>
        <v>0</v>
      </c>
      <c r="T134" s="448">
        <f t="shared" si="16"/>
        <v>0</v>
      </c>
      <c r="U134" s="448">
        <f t="shared" si="15"/>
        <v>0</v>
      </c>
      <c r="V134" s="448">
        <f t="shared" si="18"/>
        <v>0</v>
      </c>
    </row>
    <row r="135" spans="2:22" ht="18" hidden="1" customHeight="1" outlineLevel="1" x14ac:dyDescent="0.25">
      <c r="B135" s="301" t="s">
        <v>206</v>
      </c>
      <c r="C135" s="310" t="s">
        <v>207</v>
      </c>
      <c r="D135" s="325" t="s">
        <v>31</v>
      </c>
      <c r="E135" s="332"/>
      <c r="F135" s="330"/>
      <c r="G135" s="349">
        <f t="shared" si="17"/>
        <v>0</v>
      </c>
      <c r="H135" s="332"/>
      <c r="I135" s="330"/>
      <c r="J135" s="349">
        <f t="shared" si="11"/>
        <v>0</v>
      </c>
      <c r="K135" s="332"/>
      <c r="L135" s="330"/>
      <c r="M135" s="349">
        <f t="shared" si="12"/>
        <v>0</v>
      </c>
      <c r="N135" s="332">
        <v>0</v>
      </c>
      <c r="O135" s="330">
        <v>0</v>
      </c>
      <c r="P135" s="349">
        <f t="shared" si="13"/>
        <v>0</v>
      </c>
      <c r="Q135" s="352">
        <f>'Корректировка тарифа'!I144</f>
        <v>0</v>
      </c>
      <c r="R135" s="348">
        <f>'Корректировка тарифа'!J144</f>
        <v>0</v>
      </c>
      <c r="S135" s="349">
        <f t="shared" si="14"/>
        <v>0</v>
      </c>
      <c r="T135" s="448">
        <f t="shared" si="16"/>
        <v>0</v>
      </c>
      <c r="U135" s="448">
        <f t="shared" si="15"/>
        <v>0</v>
      </c>
      <c r="V135" s="448">
        <f t="shared" si="18"/>
        <v>0</v>
      </c>
    </row>
    <row r="136" spans="2:22" ht="18" hidden="1" customHeight="1" outlineLevel="1" x14ac:dyDescent="0.25">
      <c r="B136" s="301" t="s">
        <v>208</v>
      </c>
      <c r="C136" s="310" t="s">
        <v>209</v>
      </c>
      <c r="D136" s="325" t="s">
        <v>31</v>
      </c>
      <c r="E136" s="332"/>
      <c r="F136" s="330"/>
      <c r="G136" s="349">
        <f t="shared" si="17"/>
        <v>0</v>
      </c>
      <c r="H136" s="332"/>
      <c r="I136" s="330"/>
      <c r="J136" s="349">
        <f t="shared" ref="J136:J144" si="19">H136-I136</f>
        <v>0</v>
      </c>
      <c r="K136" s="332"/>
      <c r="L136" s="330"/>
      <c r="M136" s="349">
        <f t="shared" ref="M136:M144" si="20">K136-L136</f>
        <v>0</v>
      </c>
      <c r="N136" s="332">
        <v>0</v>
      </c>
      <c r="O136" s="330">
        <v>0</v>
      </c>
      <c r="P136" s="349">
        <f t="shared" ref="P136:P144" si="21">N136-O136</f>
        <v>0</v>
      </c>
      <c r="Q136" s="352">
        <f>'Корректировка тарифа'!I145</f>
        <v>0</v>
      </c>
      <c r="R136" s="348">
        <f>'Корректировка тарифа'!J145</f>
        <v>0</v>
      </c>
      <c r="S136" s="349">
        <f t="shared" ref="S136:S144" si="22">Q136-R136</f>
        <v>0</v>
      </c>
      <c r="T136" s="448">
        <f t="shared" si="16"/>
        <v>0</v>
      </c>
      <c r="U136" s="448">
        <f t="shared" si="15"/>
        <v>0</v>
      </c>
      <c r="V136" s="448">
        <f t="shared" si="18"/>
        <v>0</v>
      </c>
    </row>
    <row r="137" spans="2:22" ht="18" hidden="1" customHeight="1" outlineLevel="1" x14ac:dyDescent="0.25">
      <c r="B137" s="301" t="s">
        <v>210</v>
      </c>
      <c r="C137" s="310" t="s">
        <v>33</v>
      </c>
      <c r="D137" s="325" t="s">
        <v>31</v>
      </c>
      <c r="E137" s="332"/>
      <c r="F137" s="330"/>
      <c r="G137" s="349">
        <f t="shared" si="17"/>
        <v>0</v>
      </c>
      <c r="H137" s="332"/>
      <c r="I137" s="330"/>
      <c r="J137" s="349">
        <f t="shared" si="19"/>
        <v>0</v>
      </c>
      <c r="K137" s="332"/>
      <c r="L137" s="330"/>
      <c r="M137" s="349">
        <f t="shared" si="20"/>
        <v>0</v>
      </c>
      <c r="N137" s="332">
        <v>0</v>
      </c>
      <c r="O137" s="330">
        <v>0</v>
      </c>
      <c r="P137" s="349">
        <f t="shared" si="21"/>
        <v>0</v>
      </c>
      <c r="Q137" s="352">
        <f>'Корректировка тарифа'!I146</f>
        <v>0</v>
      </c>
      <c r="R137" s="348">
        <f>'Корректировка тарифа'!J146</f>
        <v>0</v>
      </c>
      <c r="S137" s="349">
        <f t="shared" si="22"/>
        <v>0</v>
      </c>
      <c r="T137" s="448">
        <f t="shared" si="16"/>
        <v>0</v>
      </c>
      <c r="U137" s="448">
        <f t="shared" si="15"/>
        <v>0</v>
      </c>
      <c r="V137" s="448">
        <f t="shared" si="18"/>
        <v>0</v>
      </c>
    </row>
    <row r="138" spans="2:22" ht="18" customHeight="1" collapsed="1" x14ac:dyDescent="0.25">
      <c r="B138" s="315">
        <v>4</v>
      </c>
      <c r="C138" s="313" t="s">
        <v>211</v>
      </c>
      <c r="D138" s="327" t="s">
        <v>31</v>
      </c>
      <c r="E138" s="332"/>
      <c r="F138" s="330"/>
      <c r="G138" s="349">
        <f t="shared" si="17"/>
        <v>0</v>
      </c>
      <c r="H138" s="332"/>
      <c r="I138" s="330"/>
      <c r="J138" s="349">
        <f t="shared" si="19"/>
        <v>0</v>
      </c>
      <c r="K138" s="332"/>
      <c r="L138" s="330"/>
      <c r="M138" s="349">
        <f t="shared" si="20"/>
        <v>0</v>
      </c>
      <c r="N138" s="332">
        <v>0</v>
      </c>
      <c r="O138" s="330">
        <v>28.951558545871801</v>
      </c>
      <c r="P138" s="349">
        <f t="shared" si="21"/>
        <v>-28.951558545871801</v>
      </c>
      <c r="Q138" s="352">
        <f>'Корректировка тарифа'!I147</f>
        <v>27.922915285487999</v>
      </c>
      <c r="R138" s="348">
        <f>'Корректировка тарифа'!J147</f>
        <v>27.922920000000001</v>
      </c>
      <c r="S138" s="349">
        <f t="shared" si="22"/>
        <v>-4.7145120021241382E-6</v>
      </c>
      <c r="T138" s="448">
        <f t="shared" si="16"/>
        <v>27.922915285487999</v>
      </c>
      <c r="U138" s="448">
        <f t="shared" si="15"/>
        <v>56.874478545871803</v>
      </c>
      <c r="V138" s="448">
        <f t="shared" si="18"/>
        <v>28.951563260383804</v>
      </c>
    </row>
    <row r="139" spans="2:22" ht="18" hidden="1" customHeight="1" outlineLevel="1" x14ac:dyDescent="0.25">
      <c r="B139" s="301" t="s">
        <v>212</v>
      </c>
      <c r="C139" s="310" t="s">
        <v>213</v>
      </c>
      <c r="D139" s="325" t="s">
        <v>31</v>
      </c>
      <c r="E139" s="332"/>
      <c r="F139" s="330"/>
      <c r="G139" s="349">
        <f t="shared" si="17"/>
        <v>0</v>
      </c>
      <c r="H139" s="332"/>
      <c r="I139" s="330"/>
      <c r="J139" s="349">
        <f t="shared" si="19"/>
        <v>0</v>
      </c>
      <c r="K139" s="332"/>
      <c r="L139" s="330"/>
      <c r="M139" s="349">
        <f t="shared" si="20"/>
        <v>0</v>
      </c>
      <c r="N139" s="332">
        <v>0</v>
      </c>
      <c r="O139" s="330">
        <v>28.951558545871801</v>
      </c>
      <c r="P139" s="349">
        <f t="shared" si="21"/>
        <v>-28.951558545871801</v>
      </c>
      <c r="Q139" s="352">
        <f>'Корректировка тарифа'!I148</f>
        <v>27.922915285487999</v>
      </c>
      <c r="R139" s="348">
        <f>'Корректировка тарифа'!J148</f>
        <v>27.922920000000001</v>
      </c>
      <c r="S139" s="349">
        <f t="shared" si="22"/>
        <v>-4.7145120021241382E-6</v>
      </c>
      <c r="T139" s="448">
        <f t="shared" si="16"/>
        <v>27.922915285487999</v>
      </c>
      <c r="U139" s="448">
        <f t="shared" si="15"/>
        <v>56.874478545871803</v>
      </c>
      <c r="V139" s="448">
        <f t="shared" si="18"/>
        <v>28.951563260383804</v>
      </c>
    </row>
    <row r="140" spans="2:22" ht="18" customHeight="1" collapsed="1" x14ac:dyDescent="0.25">
      <c r="B140" s="315">
        <v>5</v>
      </c>
      <c r="C140" s="313" t="s">
        <v>214</v>
      </c>
      <c r="D140" s="327" t="s">
        <v>31</v>
      </c>
      <c r="E140" s="332"/>
      <c r="F140" s="330"/>
      <c r="G140" s="349">
        <f t="shared" si="17"/>
        <v>0</v>
      </c>
      <c r="H140" s="332"/>
      <c r="I140" s="330"/>
      <c r="J140" s="349">
        <f t="shared" si="19"/>
        <v>0</v>
      </c>
      <c r="K140" s="332"/>
      <c r="L140" s="330"/>
      <c r="M140" s="349">
        <f t="shared" si="20"/>
        <v>0</v>
      </c>
      <c r="N140" s="332"/>
      <c r="O140" s="330"/>
      <c r="P140" s="349">
        <f t="shared" si="21"/>
        <v>0</v>
      </c>
      <c r="Q140" s="352">
        <f>'Корректировка тарифа'!I149</f>
        <v>0</v>
      </c>
      <c r="R140" s="348">
        <f>'Корректировка тарифа'!J149</f>
        <v>0</v>
      </c>
      <c r="S140" s="349">
        <f t="shared" si="22"/>
        <v>0</v>
      </c>
      <c r="T140" s="448">
        <f t="shared" si="16"/>
        <v>0</v>
      </c>
      <c r="U140" s="448">
        <f t="shared" si="15"/>
        <v>0</v>
      </c>
      <c r="V140" s="448">
        <f t="shared" si="18"/>
        <v>0</v>
      </c>
    </row>
    <row r="141" spans="2:22" ht="18" hidden="1" customHeight="1" outlineLevel="1" x14ac:dyDescent="0.25">
      <c r="B141" s="301" t="s">
        <v>215</v>
      </c>
      <c r="C141" s="310" t="s">
        <v>216</v>
      </c>
      <c r="D141" s="325" t="s">
        <v>31</v>
      </c>
      <c r="E141" s="332"/>
      <c r="F141" s="330"/>
      <c r="G141" s="349">
        <f t="shared" si="17"/>
        <v>0</v>
      </c>
      <c r="H141" s="332"/>
      <c r="I141" s="330"/>
      <c r="J141" s="349">
        <f t="shared" si="19"/>
        <v>0</v>
      </c>
      <c r="K141" s="332"/>
      <c r="L141" s="330"/>
      <c r="M141" s="349">
        <f t="shared" si="20"/>
        <v>0</v>
      </c>
      <c r="N141" s="332"/>
      <c r="O141" s="330"/>
      <c r="P141" s="349">
        <f t="shared" si="21"/>
        <v>0</v>
      </c>
      <c r="Q141" s="352">
        <f>'Корректировка тарифа'!I150</f>
        <v>0</v>
      </c>
      <c r="R141" s="348">
        <f>'Корректировка тарифа'!J150</f>
        <v>0</v>
      </c>
      <c r="S141" s="349">
        <f t="shared" si="22"/>
        <v>0</v>
      </c>
      <c r="T141" s="448">
        <f t="shared" si="16"/>
        <v>0</v>
      </c>
      <c r="U141" s="448">
        <f t="shared" si="15"/>
        <v>0</v>
      </c>
      <c r="V141" s="448">
        <f t="shared" si="18"/>
        <v>0</v>
      </c>
    </row>
    <row r="142" spans="2:22" ht="18" hidden="1" customHeight="1" outlineLevel="1" x14ac:dyDescent="0.25">
      <c r="B142" s="301" t="s">
        <v>217</v>
      </c>
      <c r="C142" s="310" t="s">
        <v>218</v>
      </c>
      <c r="D142" s="325" t="s">
        <v>31</v>
      </c>
      <c r="E142" s="332"/>
      <c r="F142" s="330"/>
      <c r="G142" s="349">
        <f t="shared" si="17"/>
        <v>0</v>
      </c>
      <c r="H142" s="332"/>
      <c r="I142" s="330"/>
      <c r="J142" s="349">
        <f t="shared" si="19"/>
        <v>0</v>
      </c>
      <c r="K142" s="332"/>
      <c r="L142" s="330"/>
      <c r="M142" s="349">
        <f t="shared" si="20"/>
        <v>0</v>
      </c>
      <c r="N142" s="332"/>
      <c r="O142" s="330"/>
      <c r="P142" s="349">
        <f t="shared" si="21"/>
        <v>0</v>
      </c>
      <c r="Q142" s="352">
        <f>'Корректировка тарифа'!I151</f>
        <v>0</v>
      </c>
      <c r="R142" s="348">
        <f>'Корректировка тарифа'!J151</f>
        <v>0</v>
      </c>
      <c r="S142" s="349">
        <f t="shared" si="22"/>
        <v>0</v>
      </c>
      <c r="T142" s="448">
        <f t="shared" si="16"/>
        <v>0</v>
      </c>
      <c r="U142" s="448">
        <f t="shared" si="15"/>
        <v>0</v>
      </c>
      <c r="V142" s="448">
        <f t="shared" si="18"/>
        <v>0</v>
      </c>
    </row>
    <row r="143" spans="2:22" ht="24.75" customHeight="1" collapsed="1" thickBot="1" x14ac:dyDescent="0.3">
      <c r="B143" s="299" t="s">
        <v>219</v>
      </c>
      <c r="C143" s="313" t="s">
        <v>220</v>
      </c>
      <c r="D143" s="327" t="s">
        <v>31</v>
      </c>
      <c r="E143" s="334"/>
      <c r="F143" s="335"/>
      <c r="G143" s="350">
        <f t="shared" si="17"/>
        <v>0</v>
      </c>
      <c r="H143" s="334"/>
      <c r="I143" s="335"/>
      <c r="J143" s="350">
        <f t="shared" si="19"/>
        <v>0</v>
      </c>
      <c r="K143" s="334"/>
      <c r="L143" s="335"/>
      <c r="M143" s="350">
        <f t="shared" si="20"/>
        <v>0</v>
      </c>
      <c r="N143" s="334"/>
      <c r="O143" s="335"/>
      <c r="P143" s="350">
        <f t="shared" si="21"/>
        <v>0</v>
      </c>
      <c r="Q143" s="353">
        <f>'Корректировка тарифа'!I152</f>
        <v>0</v>
      </c>
      <c r="R143" s="354">
        <f>'Корректировка тарифа'!J152</f>
        <v>0</v>
      </c>
      <c r="S143" s="350">
        <f t="shared" si="22"/>
        <v>0</v>
      </c>
      <c r="T143" s="448">
        <f t="shared" si="16"/>
        <v>0</v>
      </c>
      <c r="U143" s="448">
        <f t="shared" ref="U143:U144" si="23">F143+I143+L143+O143+R143</f>
        <v>0</v>
      </c>
      <c r="V143" s="448">
        <f t="shared" si="18"/>
        <v>0</v>
      </c>
    </row>
    <row r="144" spans="2:22" ht="27.75" customHeight="1" x14ac:dyDescent="0.25">
      <c r="B144" s="299" t="s">
        <v>221</v>
      </c>
      <c r="C144" s="316" t="s">
        <v>222</v>
      </c>
      <c r="D144" s="327" t="s">
        <v>31</v>
      </c>
      <c r="E144" s="337"/>
      <c r="F144" s="331"/>
      <c r="G144" s="338">
        <f>E144-F144</f>
        <v>0</v>
      </c>
      <c r="H144" s="337"/>
      <c r="I144" s="331"/>
      <c r="J144" s="338">
        <f t="shared" si="19"/>
        <v>0</v>
      </c>
      <c r="K144" s="337"/>
      <c r="L144" s="331"/>
      <c r="M144" s="338">
        <f t="shared" si="20"/>
        <v>0</v>
      </c>
      <c r="N144" s="337"/>
      <c r="O144" s="331"/>
      <c r="P144" s="338">
        <f t="shared" si="21"/>
        <v>0</v>
      </c>
      <c r="Q144" s="357">
        <f>'Корректировка тарифа'!I153</f>
        <v>-43.806149407020555</v>
      </c>
      <c r="R144" s="358">
        <f>'Корректировка тарифа'!J153</f>
        <v>0</v>
      </c>
      <c r="S144" s="338">
        <f t="shared" si="22"/>
        <v>-43.806149407020555</v>
      </c>
      <c r="T144" s="448">
        <f t="shared" ref="T144" si="24">E144+H144+K144+N144+Q144</f>
        <v>-43.806149407020555</v>
      </c>
      <c r="U144" s="448">
        <f t="shared" si="23"/>
        <v>0</v>
      </c>
      <c r="V144" s="448">
        <f t="shared" si="18"/>
        <v>43.806149407020555</v>
      </c>
    </row>
    <row r="145" spans="2:22" ht="18" hidden="1" customHeight="1" outlineLevel="1" x14ac:dyDescent="0.25">
      <c r="B145" s="301" t="s">
        <v>223</v>
      </c>
      <c r="C145" s="313" t="s">
        <v>224</v>
      </c>
      <c r="D145" s="327"/>
      <c r="E145" s="332"/>
      <c r="F145" s="330"/>
      <c r="G145" s="333"/>
      <c r="H145" s="332"/>
      <c r="I145" s="330"/>
      <c r="J145" s="333"/>
      <c r="K145" s="332"/>
      <c r="L145" s="330"/>
      <c r="M145" s="333"/>
      <c r="N145" s="332"/>
      <c r="O145" s="330"/>
      <c r="P145" s="333"/>
      <c r="Q145" s="352">
        <f>'Корректировка тарифа'!I154</f>
        <v>0</v>
      </c>
      <c r="R145" s="348">
        <f>'Корректировка тарифа'!J154</f>
        <v>0</v>
      </c>
      <c r="S145" s="333"/>
      <c r="V145" s="448">
        <f t="shared" si="18"/>
        <v>0</v>
      </c>
    </row>
    <row r="146" spans="2:22" ht="18" hidden="1" customHeight="1" outlineLevel="1" x14ac:dyDescent="0.25">
      <c r="B146" s="301" t="s">
        <v>225</v>
      </c>
      <c r="C146" s="313" t="s">
        <v>226</v>
      </c>
      <c r="D146" s="327"/>
      <c r="E146" s="332"/>
      <c r="F146" s="330"/>
      <c r="G146" s="333"/>
      <c r="H146" s="332"/>
      <c r="I146" s="330"/>
      <c r="J146" s="333"/>
      <c r="K146" s="332"/>
      <c r="L146" s="330"/>
      <c r="M146" s="333"/>
      <c r="N146" s="332"/>
      <c r="O146" s="330"/>
      <c r="P146" s="333"/>
      <c r="Q146" s="352">
        <f>'Корректировка тарифа'!I155</f>
        <v>0</v>
      </c>
      <c r="R146" s="348">
        <f>'Корректировка тарифа'!J155</f>
        <v>0</v>
      </c>
      <c r="S146" s="333"/>
      <c r="V146" s="448">
        <f t="shared" si="18"/>
        <v>0</v>
      </c>
    </row>
    <row r="147" spans="2:22" ht="18" hidden="1" customHeight="1" outlineLevel="1" x14ac:dyDescent="0.25">
      <c r="B147" s="301" t="s">
        <v>227</v>
      </c>
      <c r="C147" s="313" t="s">
        <v>228</v>
      </c>
      <c r="D147" s="327" t="s">
        <v>31</v>
      </c>
      <c r="E147" s="332"/>
      <c r="F147" s="330"/>
      <c r="G147" s="333"/>
      <c r="H147" s="332"/>
      <c r="I147" s="330"/>
      <c r="J147" s="333"/>
      <c r="K147" s="332"/>
      <c r="L147" s="330"/>
      <c r="M147" s="333"/>
      <c r="N147" s="332"/>
      <c r="O147" s="330"/>
      <c r="P147" s="333"/>
      <c r="Q147" s="352">
        <f>'Корректировка тарифа'!I156</f>
        <v>0</v>
      </c>
      <c r="R147" s="348">
        <f>'Корректировка тарифа'!J156</f>
        <v>0</v>
      </c>
      <c r="S147" s="333"/>
      <c r="V147" s="448">
        <f t="shared" si="18"/>
        <v>0</v>
      </c>
    </row>
    <row r="148" spans="2:22" ht="27.75" hidden="1" customHeight="1" outlineLevel="1" x14ac:dyDescent="0.25">
      <c r="B148" s="301" t="s">
        <v>229</v>
      </c>
      <c r="C148" s="313" t="s">
        <v>230</v>
      </c>
      <c r="D148" s="327" t="s">
        <v>31</v>
      </c>
      <c r="E148" s="332"/>
      <c r="F148" s="330"/>
      <c r="G148" s="333"/>
      <c r="H148" s="332"/>
      <c r="I148" s="330"/>
      <c r="J148" s="333"/>
      <c r="K148" s="332"/>
      <c r="L148" s="330"/>
      <c r="M148" s="333"/>
      <c r="N148" s="332"/>
      <c r="O148" s="330"/>
      <c r="P148" s="333"/>
      <c r="Q148" s="352">
        <f>'Корректировка тарифа'!I157</f>
        <v>0</v>
      </c>
      <c r="R148" s="348">
        <f>'Корректировка тарифа'!J157</f>
        <v>0</v>
      </c>
      <c r="S148" s="333"/>
      <c r="V148" s="448">
        <f t="shared" si="18"/>
        <v>0</v>
      </c>
    </row>
    <row r="149" spans="2:22" ht="18" hidden="1" customHeight="1" outlineLevel="1" x14ac:dyDescent="0.25">
      <c r="B149" s="301" t="s">
        <v>231</v>
      </c>
      <c r="C149" s="313" t="s">
        <v>232</v>
      </c>
      <c r="D149" s="327" t="s">
        <v>31</v>
      </c>
      <c r="E149" s="332"/>
      <c r="F149" s="330"/>
      <c r="G149" s="333"/>
      <c r="H149" s="332"/>
      <c r="I149" s="330"/>
      <c r="J149" s="333"/>
      <c r="K149" s="332"/>
      <c r="L149" s="330"/>
      <c r="M149" s="333"/>
      <c r="N149" s="332"/>
      <c r="O149" s="330"/>
      <c r="P149" s="333"/>
      <c r="Q149" s="352">
        <f>'Корректировка тарифа'!I159</f>
        <v>0</v>
      </c>
      <c r="R149" s="348">
        <f>'Корректировка тарифа'!J159</f>
        <v>0</v>
      </c>
      <c r="S149" s="333"/>
      <c r="V149" s="448">
        <f t="shared" si="18"/>
        <v>0</v>
      </c>
    </row>
    <row r="150" spans="2:22" ht="18" hidden="1" customHeight="1" outlineLevel="1" x14ac:dyDescent="0.25">
      <c r="B150" s="301" t="s">
        <v>233</v>
      </c>
      <c r="C150" s="316" t="s">
        <v>234</v>
      </c>
      <c r="D150" s="327" t="s">
        <v>31</v>
      </c>
      <c r="E150" s="332"/>
      <c r="F150" s="330"/>
      <c r="G150" s="333"/>
      <c r="H150" s="332"/>
      <c r="I150" s="330"/>
      <c r="J150" s="333"/>
      <c r="K150" s="332"/>
      <c r="L150" s="330"/>
      <c r="M150" s="333"/>
      <c r="N150" s="332"/>
      <c r="O150" s="330"/>
      <c r="P150" s="333"/>
      <c r="Q150" s="352">
        <f>'Корректировка тарифа'!I160</f>
        <v>0</v>
      </c>
      <c r="R150" s="348">
        <f>'Корректировка тарифа'!J160</f>
        <v>0</v>
      </c>
      <c r="S150" s="333"/>
      <c r="V150" s="448">
        <f t="shared" si="18"/>
        <v>0</v>
      </c>
    </row>
    <row r="151" spans="2:22" ht="18" hidden="1" customHeight="1" outlineLevel="1" x14ac:dyDescent="0.25">
      <c r="B151" s="301" t="s">
        <v>235</v>
      </c>
      <c r="C151" s="313" t="s">
        <v>236</v>
      </c>
      <c r="D151" s="327" t="s">
        <v>31</v>
      </c>
      <c r="E151" s="332"/>
      <c r="F151" s="330"/>
      <c r="G151" s="333"/>
      <c r="H151" s="332"/>
      <c r="I151" s="330"/>
      <c r="J151" s="333"/>
      <c r="K151" s="332"/>
      <c r="L151" s="330"/>
      <c r="M151" s="333"/>
      <c r="N151" s="332"/>
      <c r="O151" s="330"/>
      <c r="P151" s="333"/>
      <c r="Q151" s="352">
        <f>'Корректировка тарифа'!I161</f>
        <v>0</v>
      </c>
      <c r="R151" s="348">
        <f>'Корректировка тарифа'!J161</f>
        <v>0</v>
      </c>
      <c r="S151" s="333"/>
      <c r="V151" s="448">
        <f t="shared" si="18"/>
        <v>0</v>
      </c>
    </row>
    <row r="152" spans="2:22" ht="18" hidden="1" customHeight="1" outlineLevel="1" x14ac:dyDescent="0.25">
      <c r="B152" s="301" t="s">
        <v>237</v>
      </c>
      <c r="C152" s="316" t="s">
        <v>238</v>
      </c>
      <c r="D152" s="327" t="s">
        <v>31</v>
      </c>
      <c r="E152" s="332"/>
      <c r="F152" s="330"/>
      <c r="G152" s="333"/>
      <c r="H152" s="332"/>
      <c r="I152" s="330"/>
      <c r="J152" s="333"/>
      <c r="K152" s="332"/>
      <c r="L152" s="330"/>
      <c r="M152" s="333"/>
      <c r="N152" s="332"/>
      <c r="O152" s="330"/>
      <c r="P152" s="333"/>
      <c r="Q152" s="352" t="e">
        <f>'Корректировка тарифа'!#REF!</f>
        <v>#REF!</v>
      </c>
      <c r="R152" s="348" t="e">
        <f>'Корректировка тарифа'!#REF!</f>
        <v>#REF!</v>
      </c>
      <c r="S152" s="333"/>
      <c r="V152" s="448">
        <f t="shared" si="18"/>
        <v>0</v>
      </c>
    </row>
    <row r="153" spans="2:22" ht="18" hidden="1" customHeight="1" outlineLevel="1" x14ac:dyDescent="0.25">
      <c r="B153" s="301" t="s">
        <v>239</v>
      </c>
      <c r="C153" s="313" t="s">
        <v>236</v>
      </c>
      <c r="D153" s="327" t="s">
        <v>31</v>
      </c>
      <c r="E153" s="332"/>
      <c r="F153" s="330"/>
      <c r="G153" s="333"/>
      <c r="H153" s="332"/>
      <c r="I153" s="330"/>
      <c r="J153" s="333"/>
      <c r="K153" s="332"/>
      <c r="L153" s="330"/>
      <c r="M153" s="333"/>
      <c r="N153" s="332"/>
      <c r="O153" s="330"/>
      <c r="P153" s="333"/>
      <c r="Q153" s="352" t="e">
        <f>'Корректировка тарифа'!#REF!</f>
        <v>#REF!</v>
      </c>
      <c r="R153" s="348" t="e">
        <f>'Корректировка тарифа'!#REF!</f>
        <v>#REF!</v>
      </c>
      <c r="S153" s="333"/>
      <c r="V153" s="448">
        <f t="shared" si="18"/>
        <v>0</v>
      </c>
    </row>
    <row r="154" spans="2:22" ht="18" hidden="1" customHeight="1" outlineLevel="1" x14ac:dyDescent="0.25">
      <c r="B154" s="301" t="s">
        <v>240</v>
      </c>
      <c r="C154" s="316" t="s">
        <v>238</v>
      </c>
      <c r="D154" s="327" t="s">
        <v>31</v>
      </c>
      <c r="E154" s="332"/>
      <c r="F154" s="330"/>
      <c r="G154" s="333"/>
      <c r="H154" s="332"/>
      <c r="I154" s="330"/>
      <c r="J154" s="333"/>
      <c r="K154" s="332"/>
      <c r="L154" s="330"/>
      <c r="M154" s="333"/>
      <c r="N154" s="332"/>
      <c r="O154" s="330"/>
      <c r="P154" s="333"/>
      <c r="Q154" s="352">
        <f>'Корректировка тарифа'!I162</f>
        <v>0</v>
      </c>
      <c r="R154" s="348">
        <f>'Корректировка тарифа'!J162</f>
        <v>0</v>
      </c>
      <c r="S154" s="333"/>
      <c r="V154" s="448">
        <f t="shared" si="18"/>
        <v>0</v>
      </c>
    </row>
    <row r="155" spans="2:22" ht="18" hidden="1" customHeight="1" outlineLevel="1" x14ac:dyDescent="0.25">
      <c r="B155" s="301" t="s">
        <v>241</v>
      </c>
      <c r="C155" s="313" t="s">
        <v>242</v>
      </c>
      <c r="D155" s="327" t="s">
        <v>31</v>
      </c>
      <c r="E155" s="332"/>
      <c r="F155" s="330"/>
      <c r="G155" s="333"/>
      <c r="H155" s="332"/>
      <c r="I155" s="330"/>
      <c r="J155" s="333"/>
      <c r="K155" s="332"/>
      <c r="L155" s="330"/>
      <c r="M155" s="333"/>
      <c r="N155" s="332"/>
      <c r="O155" s="330"/>
      <c r="P155" s="333"/>
      <c r="Q155" s="352">
        <f>'Корректировка тарифа'!I163</f>
        <v>0</v>
      </c>
      <c r="R155" s="348">
        <f>'Корректировка тарифа'!J163</f>
        <v>0</v>
      </c>
      <c r="S155" s="333"/>
      <c r="V155" s="448">
        <f t="shared" si="18"/>
        <v>0</v>
      </c>
    </row>
    <row r="156" spans="2:22" ht="18" hidden="1" customHeight="1" outlineLevel="1" x14ac:dyDescent="0.25">
      <c r="B156" s="301" t="s">
        <v>243</v>
      </c>
      <c r="C156" s="313" t="s">
        <v>244</v>
      </c>
      <c r="D156" s="327" t="s">
        <v>31</v>
      </c>
      <c r="E156" s="332"/>
      <c r="F156" s="330"/>
      <c r="G156" s="333"/>
      <c r="H156" s="332"/>
      <c r="I156" s="330"/>
      <c r="J156" s="333"/>
      <c r="K156" s="332"/>
      <c r="L156" s="330"/>
      <c r="M156" s="333"/>
      <c r="N156" s="332"/>
      <c r="O156" s="330"/>
      <c r="P156" s="333"/>
      <c r="Q156" s="352">
        <f>'Корректировка тарифа'!I164</f>
        <v>-30.197493971016151</v>
      </c>
      <c r="R156" s="348">
        <f>'Корректировка тарифа'!J164</f>
        <v>0</v>
      </c>
      <c r="S156" s="333"/>
      <c r="V156" s="448">
        <f t="shared" si="18"/>
        <v>0</v>
      </c>
    </row>
    <row r="157" spans="2:22" ht="18" hidden="1" customHeight="1" outlineLevel="1" x14ac:dyDescent="0.25">
      <c r="B157" s="301" t="s">
        <v>249</v>
      </c>
      <c r="C157" s="316" t="s">
        <v>250</v>
      </c>
      <c r="D157" s="327" t="s">
        <v>31</v>
      </c>
      <c r="E157" s="332"/>
      <c r="F157" s="330"/>
      <c r="G157" s="333"/>
      <c r="H157" s="332"/>
      <c r="I157" s="330"/>
      <c r="J157" s="333"/>
      <c r="K157" s="332"/>
      <c r="L157" s="330"/>
      <c r="M157" s="333"/>
      <c r="N157" s="332"/>
      <c r="O157" s="330"/>
      <c r="P157" s="333"/>
      <c r="Q157" s="352">
        <f>'Корректировка тарифа'!I165</f>
        <v>0</v>
      </c>
      <c r="R157" s="348">
        <f>'Корректировка тарифа'!J165</f>
        <v>0</v>
      </c>
      <c r="S157" s="333"/>
      <c r="V157" s="448">
        <f t="shared" si="18"/>
        <v>0</v>
      </c>
    </row>
    <row r="158" spans="2:22" ht="18" hidden="1" customHeight="1" outlineLevel="1" x14ac:dyDescent="0.25">
      <c r="B158" s="301" t="s">
        <v>251</v>
      </c>
      <c r="C158" s="316" t="s">
        <v>252</v>
      </c>
      <c r="D158" s="327" t="s">
        <v>31</v>
      </c>
      <c r="E158" s="332"/>
      <c r="F158" s="330"/>
      <c r="G158" s="333"/>
      <c r="H158" s="332"/>
      <c r="I158" s="330"/>
      <c r="J158" s="333"/>
      <c r="K158" s="332"/>
      <c r="L158" s="330"/>
      <c r="M158" s="333"/>
      <c r="N158" s="332"/>
      <c r="O158" s="330"/>
      <c r="P158" s="333"/>
      <c r="Q158" s="352">
        <f>'Корректировка тарифа'!I166</f>
        <v>0</v>
      </c>
      <c r="R158" s="348">
        <f>'Корректировка тарифа'!J166</f>
        <v>0</v>
      </c>
      <c r="S158" s="333"/>
      <c r="V158" s="448">
        <f t="shared" si="18"/>
        <v>0</v>
      </c>
    </row>
    <row r="159" spans="2:22" ht="18" hidden="1" customHeight="1" outlineLevel="1" x14ac:dyDescent="0.25">
      <c r="B159" s="301" t="s">
        <v>255</v>
      </c>
      <c r="C159" s="317" t="s">
        <v>256</v>
      </c>
      <c r="D159" s="329" t="s">
        <v>31</v>
      </c>
      <c r="E159" s="332"/>
      <c r="F159" s="330"/>
      <c r="G159" s="333"/>
      <c r="H159" s="332"/>
      <c r="I159" s="330"/>
      <c r="J159" s="333"/>
      <c r="K159" s="332"/>
      <c r="L159" s="330"/>
      <c r="M159" s="333"/>
      <c r="N159" s="332"/>
      <c r="O159" s="330"/>
      <c r="P159" s="333"/>
      <c r="Q159" s="352">
        <f>'Корректировка тарифа'!I168</f>
        <v>0</v>
      </c>
      <c r="R159" s="348">
        <f>'Корректировка тарифа'!J168</f>
        <v>0</v>
      </c>
      <c r="S159" s="333"/>
      <c r="V159" s="448">
        <f t="shared" si="18"/>
        <v>0</v>
      </c>
    </row>
    <row r="160" spans="2:22" ht="18" customHeight="1" collapsed="1" x14ac:dyDescent="0.25">
      <c r="B160" s="299" t="s">
        <v>259</v>
      </c>
      <c r="C160" s="313" t="s">
        <v>260</v>
      </c>
      <c r="D160" s="327" t="s">
        <v>31</v>
      </c>
      <c r="E160" s="345">
        <f t="shared" ref="E160:Q160" si="25">E144+E143+E140+E138+E101+E64+E15</f>
        <v>0</v>
      </c>
      <c r="F160" s="339">
        <f t="shared" si="25"/>
        <v>0</v>
      </c>
      <c r="G160" s="346"/>
      <c r="H160" s="345">
        <f t="shared" si="25"/>
        <v>0</v>
      </c>
      <c r="I160" s="339">
        <f t="shared" si="25"/>
        <v>0</v>
      </c>
      <c r="J160" s="346"/>
      <c r="K160" s="345">
        <f t="shared" si="25"/>
        <v>975.3</v>
      </c>
      <c r="L160" s="339">
        <f t="shared" si="25"/>
        <v>909.58</v>
      </c>
      <c r="M160" s="346"/>
      <c r="N160" s="345">
        <f t="shared" si="25"/>
        <v>1112.3335181217822</v>
      </c>
      <c r="O160" s="339">
        <f t="shared" si="25"/>
        <v>1063.0904252146058</v>
      </c>
      <c r="P160" s="346"/>
      <c r="Q160" s="352">
        <f t="shared" si="25"/>
        <v>1297.569631622855</v>
      </c>
      <c r="R160" s="348">
        <f>R144+R143+R140+R138+R101+R64+R15</f>
        <v>1471.9126700011</v>
      </c>
      <c r="S160" s="346"/>
      <c r="T160" s="448">
        <f t="shared" ref="T160:U160" si="26">E160+H160+K160+N160+Q160</f>
        <v>3385.2031497446369</v>
      </c>
      <c r="U160" s="448">
        <f t="shared" si="26"/>
        <v>3444.5830952157057</v>
      </c>
      <c r="V160" s="448">
        <f t="shared" si="18"/>
        <v>59.379945471068822</v>
      </c>
    </row>
    <row r="161" spans="2:19" ht="18" customHeight="1" thickBot="1" x14ac:dyDescent="0.3">
      <c r="B161" s="299" t="s">
        <v>261</v>
      </c>
      <c r="C161" s="318" t="str">
        <f>"Тариф на " &amp; tariftype &amp; ""</f>
        <v>Тариф на водоотведение</v>
      </c>
      <c r="D161" s="327" t="s">
        <v>262</v>
      </c>
      <c r="E161" s="334" t="e">
        <f t="shared" ref="E161:Q161" si="27">E160/E7</f>
        <v>#DIV/0!</v>
      </c>
      <c r="F161" s="335" t="e">
        <f t="shared" si="27"/>
        <v>#DIV/0!</v>
      </c>
      <c r="G161" s="336"/>
      <c r="H161" s="334" t="e">
        <f t="shared" si="27"/>
        <v>#DIV/0!</v>
      </c>
      <c r="I161" s="335" t="e">
        <f t="shared" si="27"/>
        <v>#DIV/0!</v>
      </c>
      <c r="J161" s="336"/>
      <c r="K161" s="334" t="e">
        <f t="shared" si="27"/>
        <v>#DIV/0!</v>
      </c>
      <c r="L161" s="335" t="e">
        <f t="shared" si="27"/>
        <v>#DIV/0!</v>
      </c>
      <c r="M161" s="336"/>
      <c r="N161" s="334">
        <f t="shared" si="27"/>
        <v>53.735918749844551</v>
      </c>
      <c r="O161" s="335">
        <f t="shared" si="27"/>
        <v>49.407055397310749</v>
      </c>
      <c r="P161" s="336"/>
      <c r="Q161" s="334">
        <f t="shared" si="27"/>
        <v>62.68452326680459</v>
      </c>
      <c r="R161" s="335">
        <f>R160/R7</f>
        <v>72.369087112662342</v>
      </c>
      <c r="S161" s="336"/>
    </row>
    <row r="163" spans="2:19" ht="18" customHeight="1" thickBot="1" x14ac:dyDescent="0.3"/>
    <row r="164" spans="2:19" ht="18" customHeight="1" thickBot="1" x14ac:dyDescent="0.3">
      <c r="D164" s="798" t="s">
        <v>537</v>
      </c>
      <c r="E164" s="801" t="s">
        <v>538</v>
      </c>
      <c r="F164" s="802"/>
      <c r="G164" s="803"/>
      <c r="H164" s="810" t="s">
        <v>539</v>
      </c>
      <c r="I164" s="811"/>
      <c r="J164" s="812"/>
    </row>
    <row r="165" spans="2:19" ht="18" customHeight="1" thickBot="1" x14ac:dyDescent="0.3">
      <c r="D165" s="799"/>
      <c r="E165" s="804"/>
      <c r="F165" s="805"/>
      <c r="G165" s="806"/>
      <c r="H165" s="810" t="s">
        <v>540</v>
      </c>
      <c r="I165" s="811"/>
      <c r="J165" s="812"/>
    </row>
    <row r="166" spans="2:19" ht="18" customHeight="1" thickBot="1" x14ac:dyDescent="0.3">
      <c r="D166" s="799"/>
      <c r="E166" s="807"/>
      <c r="F166" s="808"/>
      <c r="G166" s="809"/>
      <c r="H166" s="810" t="s">
        <v>541</v>
      </c>
      <c r="I166" s="811"/>
      <c r="J166" s="812"/>
    </row>
    <row r="167" spans="2:19" ht="18" customHeight="1" thickBot="1" x14ac:dyDescent="0.3">
      <c r="D167" s="800"/>
      <c r="E167" s="459" t="s">
        <v>542</v>
      </c>
      <c r="F167" s="459" t="s">
        <v>425</v>
      </c>
      <c r="G167" s="459" t="s">
        <v>426</v>
      </c>
      <c r="H167" s="459" t="s">
        <v>542</v>
      </c>
      <c r="I167" s="459" t="s">
        <v>425</v>
      </c>
      <c r="J167" s="459" t="s">
        <v>426</v>
      </c>
    </row>
    <row r="168" spans="2:19" ht="18" customHeight="1" thickBot="1" x14ac:dyDescent="0.3">
      <c r="D168" s="460">
        <v>2019</v>
      </c>
      <c r="E168" s="461">
        <f>E160</f>
        <v>0</v>
      </c>
      <c r="F168" s="461">
        <f>F160</f>
        <v>0</v>
      </c>
      <c r="G168" s="461">
        <f>F168-E168</f>
        <v>0</v>
      </c>
      <c r="H168" s="461">
        <f>E15</f>
        <v>0</v>
      </c>
      <c r="I168" s="461">
        <f>F15</f>
        <v>0</v>
      </c>
      <c r="J168" s="461">
        <f>I168-H168</f>
        <v>0</v>
      </c>
    </row>
    <row r="169" spans="2:19" ht="18" customHeight="1" thickBot="1" x14ac:dyDescent="0.3">
      <c r="D169" s="460">
        <v>2020</v>
      </c>
      <c r="E169" s="461">
        <f>H160</f>
        <v>0</v>
      </c>
      <c r="F169" s="461">
        <f>I160</f>
        <v>0</v>
      </c>
      <c r="G169" s="461">
        <f t="shared" ref="G169:G172" si="28">F169-E169</f>
        <v>0</v>
      </c>
      <c r="H169" s="461">
        <f>H15</f>
        <v>0</v>
      </c>
      <c r="I169" s="461">
        <f>I15</f>
        <v>0</v>
      </c>
      <c r="J169" s="461">
        <f t="shared" ref="J169:J172" si="29">I169-H169</f>
        <v>0</v>
      </c>
    </row>
    <row r="170" spans="2:19" ht="18" customHeight="1" thickBot="1" x14ac:dyDescent="0.3">
      <c r="D170" s="460">
        <v>2021</v>
      </c>
      <c r="E170" s="461">
        <f>K160</f>
        <v>975.3</v>
      </c>
      <c r="F170" s="461">
        <f>L160</f>
        <v>909.58</v>
      </c>
      <c r="G170" s="461">
        <f t="shared" si="28"/>
        <v>-65.719999999999914</v>
      </c>
      <c r="H170" s="461">
        <f>K15</f>
        <v>975.3</v>
      </c>
      <c r="I170" s="461">
        <f>L15</f>
        <v>909.58</v>
      </c>
      <c r="J170" s="461">
        <f t="shared" si="29"/>
        <v>-65.719999999999914</v>
      </c>
    </row>
    <row r="171" spans="2:19" ht="18" customHeight="1" thickBot="1" x14ac:dyDescent="0.3">
      <c r="D171" s="460">
        <v>2022</v>
      </c>
      <c r="E171" s="461">
        <f>N160</f>
        <v>1112.3335181217822</v>
      </c>
      <c r="F171" s="461">
        <f>O160</f>
        <v>1063.0904252146058</v>
      </c>
      <c r="G171" s="461">
        <f t="shared" si="28"/>
        <v>-49.243092907176333</v>
      </c>
      <c r="H171" s="461">
        <f>N15</f>
        <v>1065.2021367867183</v>
      </c>
      <c r="I171" s="461">
        <f>O15</f>
        <v>1013.9230366829861</v>
      </c>
      <c r="J171" s="461">
        <f t="shared" si="29"/>
        <v>-51.279100103732162</v>
      </c>
    </row>
    <row r="172" spans="2:19" ht="18" customHeight="1" thickBot="1" x14ac:dyDescent="0.3">
      <c r="D172" s="460">
        <v>2023</v>
      </c>
      <c r="E172" s="461">
        <f>Q160</f>
        <v>1297.569631622855</v>
      </c>
      <c r="F172" s="461">
        <f>R160</f>
        <v>1471.9126700011</v>
      </c>
      <c r="G172" s="461">
        <f t="shared" si="28"/>
        <v>174.34303837824496</v>
      </c>
      <c r="H172" s="461">
        <f>Q15</f>
        <v>1262.5248965136184</v>
      </c>
      <c r="I172" s="461">
        <f>R15</f>
        <v>1435.68</v>
      </c>
      <c r="J172" s="461">
        <f t="shared" si="29"/>
        <v>173.15510348638168</v>
      </c>
    </row>
    <row r="173" spans="2:19" ht="18" customHeight="1" thickBot="1" x14ac:dyDescent="0.3">
      <c r="D173" s="462" t="s">
        <v>319</v>
      </c>
      <c r="E173" s="461">
        <f>SUM(E168:E172)</f>
        <v>3385.2031497446369</v>
      </c>
      <c r="F173" s="461">
        <f t="shared" ref="F173" si="30">SUM(F168:F172)</f>
        <v>3444.5830952157057</v>
      </c>
      <c r="G173" s="461">
        <f>SUM(G168:G172)</f>
        <v>59.379945471068709</v>
      </c>
      <c r="H173" s="461">
        <f>SUM(H168:H172)</f>
        <v>3303.0270333003364</v>
      </c>
      <c r="I173" s="461">
        <f t="shared" ref="I173" si="31">SUM(I168:I172)</f>
        <v>3359.1830366829863</v>
      </c>
      <c r="J173" s="463">
        <f>SUM(J168:J172)</f>
        <v>56.156003382649601</v>
      </c>
    </row>
  </sheetData>
  <mergeCells count="36">
    <mergeCell ref="D164:D167"/>
    <mergeCell ref="E164:G166"/>
    <mergeCell ref="H164:J164"/>
    <mergeCell ref="H165:J165"/>
    <mergeCell ref="H166:J166"/>
    <mergeCell ref="P4:P5"/>
    <mergeCell ref="S4:S5"/>
    <mergeCell ref="O4:O5"/>
    <mergeCell ref="Q4:Q5"/>
    <mergeCell ref="R4:R5"/>
    <mergeCell ref="E3:G3"/>
    <mergeCell ref="H3:J3"/>
    <mergeCell ref="K3:M3"/>
    <mergeCell ref="N3:P3"/>
    <mergeCell ref="Q3:S3"/>
    <mergeCell ref="K4:K5"/>
    <mergeCell ref="L4:L5"/>
    <mergeCell ref="N4:N5"/>
    <mergeCell ref="B47:B48"/>
    <mergeCell ref="C47:C48"/>
    <mergeCell ref="G4:G5"/>
    <mergeCell ref="J4:J5"/>
    <mergeCell ref="E4:E5"/>
    <mergeCell ref="F4:F5"/>
    <mergeCell ref="H4:H5"/>
    <mergeCell ref="I4:I5"/>
    <mergeCell ref="M4:M5"/>
    <mergeCell ref="B55:B56"/>
    <mergeCell ref="C55:C56"/>
    <mergeCell ref="B3:B5"/>
    <mergeCell ref="C3:C5"/>
    <mergeCell ref="D3:D5"/>
    <mergeCell ref="B25:B26"/>
    <mergeCell ref="C25:C26"/>
    <mergeCell ref="B30:B31"/>
    <mergeCell ref="C30:C3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84BCB6-C122-4E9E-AD25-C3B84A2B8A41}">
  <sheetPr codeName="Лист7"/>
  <dimension ref="B1:Y21"/>
  <sheetViews>
    <sheetView workbookViewId="0">
      <selection activeCell="K34" sqref="K34"/>
    </sheetView>
  </sheetViews>
  <sheetFormatPr defaultRowHeight="12.75" x14ac:dyDescent="0.2"/>
  <cols>
    <col min="1" max="1" width="5.140625" style="196" customWidth="1"/>
    <col min="2" max="4" width="9.140625" style="196"/>
    <col min="5" max="5" width="13.85546875" style="196" customWidth="1"/>
    <col min="6" max="6" width="14.28515625" style="196" customWidth="1"/>
    <col min="7" max="7" width="16.5703125" style="196" customWidth="1"/>
    <col min="8" max="8" width="14.85546875" style="196" customWidth="1"/>
    <col min="9" max="9" width="11.140625" style="196" customWidth="1"/>
    <col min="10" max="10" width="10.85546875" style="196" customWidth="1"/>
    <col min="11" max="11" width="13.28515625" style="196" customWidth="1"/>
    <col min="12" max="12" width="10.5703125" style="196" bestFit="1" customWidth="1"/>
    <col min="13" max="20" width="9.140625" style="196"/>
    <col min="21" max="21" width="14.42578125" style="196" customWidth="1"/>
    <col min="22" max="256" width="9.140625" style="196"/>
    <col min="257" max="257" width="5.140625" style="196" customWidth="1"/>
    <col min="258" max="260" width="9.140625" style="196"/>
    <col min="261" max="261" width="13.85546875" style="196" customWidth="1"/>
    <col min="262" max="262" width="14.28515625" style="196" customWidth="1"/>
    <col min="263" max="263" width="16.5703125" style="196" customWidth="1"/>
    <col min="264" max="264" width="14.85546875" style="196" customWidth="1"/>
    <col min="265" max="265" width="11.140625" style="196" customWidth="1"/>
    <col min="266" max="266" width="10.85546875" style="196" customWidth="1"/>
    <col min="267" max="267" width="13.28515625" style="196" customWidth="1"/>
    <col min="268" max="268" width="10.5703125" style="196" bestFit="1" customWidth="1"/>
    <col min="269" max="276" width="9.140625" style="196"/>
    <col min="277" max="277" width="14.42578125" style="196" customWidth="1"/>
    <col min="278" max="512" width="9.140625" style="196"/>
    <col min="513" max="513" width="5.140625" style="196" customWidth="1"/>
    <col min="514" max="516" width="9.140625" style="196"/>
    <col min="517" max="517" width="13.85546875" style="196" customWidth="1"/>
    <col min="518" max="518" width="14.28515625" style="196" customWidth="1"/>
    <col min="519" max="519" width="16.5703125" style="196" customWidth="1"/>
    <col min="520" max="520" width="14.85546875" style="196" customWidth="1"/>
    <col min="521" max="521" width="11.140625" style="196" customWidth="1"/>
    <col min="522" max="522" width="10.85546875" style="196" customWidth="1"/>
    <col min="523" max="523" width="13.28515625" style="196" customWidth="1"/>
    <col min="524" max="524" width="10.5703125" style="196" bestFit="1" customWidth="1"/>
    <col min="525" max="532" width="9.140625" style="196"/>
    <col min="533" max="533" width="14.42578125" style="196" customWidth="1"/>
    <col min="534" max="768" width="9.140625" style="196"/>
    <col min="769" max="769" width="5.140625" style="196" customWidth="1"/>
    <col min="770" max="772" width="9.140625" style="196"/>
    <col min="773" max="773" width="13.85546875" style="196" customWidth="1"/>
    <col min="774" max="774" width="14.28515625" style="196" customWidth="1"/>
    <col min="775" max="775" width="16.5703125" style="196" customWidth="1"/>
    <col min="776" max="776" width="14.85546875" style="196" customWidth="1"/>
    <col min="777" max="777" width="11.140625" style="196" customWidth="1"/>
    <col min="778" max="778" width="10.85546875" style="196" customWidth="1"/>
    <col min="779" max="779" width="13.28515625" style="196" customWidth="1"/>
    <col min="780" max="780" width="10.5703125" style="196" bestFit="1" customWidth="1"/>
    <col min="781" max="788" width="9.140625" style="196"/>
    <col min="789" max="789" width="14.42578125" style="196" customWidth="1"/>
    <col min="790" max="1024" width="9.140625" style="196"/>
    <col min="1025" max="1025" width="5.140625" style="196" customWidth="1"/>
    <col min="1026" max="1028" width="9.140625" style="196"/>
    <col min="1029" max="1029" width="13.85546875" style="196" customWidth="1"/>
    <col min="1030" max="1030" width="14.28515625" style="196" customWidth="1"/>
    <col min="1031" max="1031" width="16.5703125" style="196" customWidth="1"/>
    <col min="1032" max="1032" width="14.85546875" style="196" customWidth="1"/>
    <col min="1033" max="1033" width="11.140625" style="196" customWidth="1"/>
    <col min="1034" max="1034" width="10.85546875" style="196" customWidth="1"/>
    <col min="1035" max="1035" width="13.28515625" style="196" customWidth="1"/>
    <col min="1036" max="1036" width="10.5703125" style="196" bestFit="1" customWidth="1"/>
    <col min="1037" max="1044" width="9.140625" style="196"/>
    <col min="1045" max="1045" width="14.42578125" style="196" customWidth="1"/>
    <col min="1046" max="1280" width="9.140625" style="196"/>
    <col min="1281" max="1281" width="5.140625" style="196" customWidth="1"/>
    <col min="1282" max="1284" width="9.140625" style="196"/>
    <col min="1285" max="1285" width="13.85546875" style="196" customWidth="1"/>
    <col min="1286" max="1286" width="14.28515625" style="196" customWidth="1"/>
    <col min="1287" max="1287" width="16.5703125" style="196" customWidth="1"/>
    <col min="1288" max="1288" width="14.85546875" style="196" customWidth="1"/>
    <col min="1289" max="1289" width="11.140625" style="196" customWidth="1"/>
    <col min="1290" max="1290" width="10.85546875" style="196" customWidth="1"/>
    <col min="1291" max="1291" width="13.28515625" style="196" customWidth="1"/>
    <col min="1292" max="1292" width="10.5703125" style="196" bestFit="1" customWidth="1"/>
    <col min="1293" max="1300" width="9.140625" style="196"/>
    <col min="1301" max="1301" width="14.42578125" style="196" customWidth="1"/>
    <col min="1302" max="1536" width="9.140625" style="196"/>
    <col min="1537" max="1537" width="5.140625" style="196" customWidth="1"/>
    <col min="1538" max="1540" width="9.140625" style="196"/>
    <col min="1541" max="1541" width="13.85546875" style="196" customWidth="1"/>
    <col min="1542" max="1542" width="14.28515625" style="196" customWidth="1"/>
    <col min="1543" max="1543" width="16.5703125" style="196" customWidth="1"/>
    <col min="1544" max="1544" width="14.85546875" style="196" customWidth="1"/>
    <col min="1545" max="1545" width="11.140625" style="196" customWidth="1"/>
    <col min="1546" max="1546" width="10.85546875" style="196" customWidth="1"/>
    <col min="1547" max="1547" width="13.28515625" style="196" customWidth="1"/>
    <col min="1548" max="1548" width="10.5703125" style="196" bestFit="1" customWidth="1"/>
    <col min="1549" max="1556" width="9.140625" style="196"/>
    <col min="1557" max="1557" width="14.42578125" style="196" customWidth="1"/>
    <col min="1558" max="1792" width="9.140625" style="196"/>
    <col min="1793" max="1793" width="5.140625" style="196" customWidth="1"/>
    <col min="1794" max="1796" width="9.140625" style="196"/>
    <col min="1797" max="1797" width="13.85546875" style="196" customWidth="1"/>
    <col min="1798" max="1798" width="14.28515625" style="196" customWidth="1"/>
    <col min="1799" max="1799" width="16.5703125" style="196" customWidth="1"/>
    <col min="1800" max="1800" width="14.85546875" style="196" customWidth="1"/>
    <col min="1801" max="1801" width="11.140625" style="196" customWidth="1"/>
    <col min="1802" max="1802" width="10.85546875" style="196" customWidth="1"/>
    <col min="1803" max="1803" width="13.28515625" style="196" customWidth="1"/>
    <col min="1804" max="1804" width="10.5703125" style="196" bestFit="1" customWidth="1"/>
    <col min="1805" max="1812" width="9.140625" style="196"/>
    <col min="1813" max="1813" width="14.42578125" style="196" customWidth="1"/>
    <col min="1814" max="2048" width="9.140625" style="196"/>
    <col min="2049" max="2049" width="5.140625" style="196" customWidth="1"/>
    <col min="2050" max="2052" width="9.140625" style="196"/>
    <col min="2053" max="2053" width="13.85546875" style="196" customWidth="1"/>
    <col min="2054" max="2054" width="14.28515625" style="196" customWidth="1"/>
    <col min="2055" max="2055" width="16.5703125" style="196" customWidth="1"/>
    <col min="2056" max="2056" width="14.85546875" style="196" customWidth="1"/>
    <col min="2057" max="2057" width="11.140625" style="196" customWidth="1"/>
    <col min="2058" max="2058" width="10.85546875" style="196" customWidth="1"/>
    <col min="2059" max="2059" width="13.28515625" style="196" customWidth="1"/>
    <col min="2060" max="2060" width="10.5703125" style="196" bestFit="1" customWidth="1"/>
    <col min="2061" max="2068" width="9.140625" style="196"/>
    <col min="2069" max="2069" width="14.42578125" style="196" customWidth="1"/>
    <col min="2070" max="2304" width="9.140625" style="196"/>
    <col min="2305" max="2305" width="5.140625" style="196" customWidth="1"/>
    <col min="2306" max="2308" width="9.140625" style="196"/>
    <col min="2309" max="2309" width="13.85546875" style="196" customWidth="1"/>
    <col min="2310" max="2310" width="14.28515625" style="196" customWidth="1"/>
    <col min="2311" max="2311" width="16.5703125" style="196" customWidth="1"/>
    <col min="2312" max="2312" width="14.85546875" style="196" customWidth="1"/>
    <col min="2313" max="2313" width="11.140625" style="196" customWidth="1"/>
    <col min="2314" max="2314" width="10.85546875" style="196" customWidth="1"/>
    <col min="2315" max="2315" width="13.28515625" style="196" customWidth="1"/>
    <col min="2316" max="2316" width="10.5703125" style="196" bestFit="1" customWidth="1"/>
    <col min="2317" max="2324" width="9.140625" style="196"/>
    <col min="2325" max="2325" width="14.42578125" style="196" customWidth="1"/>
    <col min="2326" max="2560" width="9.140625" style="196"/>
    <col min="2561" max="2561" width="5.140625" style="196" customWidth="1"/>
    <col min="2562" max="2564" width="9.140625" style="196"/>
    <col min="2565" max="2565" width="13.85546875" style="196" customWidth="1"/>
    <col min="2566" max="2566" width="14.28515625" style="196" customWidth="1"/>
    <col min="2567" max="2567" width="16.5703125" style="196" customWidth="1"/>
    <col min="2568" max="2568" width="14.85546875" style="196" customWidth="1"/>
    <col min="2569" max="2569" width="11.140625" style="196" customWidth="1"/>
    <col min="2570" max="2570" width="10.85546875" style="196" customWidth="1"/>
    <col min="2571" max="2571" width="13.28515625" style="196" customWidth="1"/>
    <col min="2572" max="2572" width="10.5703125" style="196" bestFit="1" customWidth="1"/>
    <col min="2573" max="2580" width="9.140625" style="196"/>
    <col min="2581" max="2581" width="14.42578125" style="196" customWidth="1"/>
    <col min="2582" max="2816" width="9.140625" style="196"/>
    <col min="2817" max="2817" width="5.140625" style="196" customWidth="1"/>
    <col min="2818" max="2820" width="9.140625" style="196"/>
    <col min="2821" max="2821" width="13.85546875" style="196" customWidth="1"/>
    <col min="2822" max="2822" width="14.28515625" style="196" customWidth="1"/>
    <col min="2823" max="2823" width="16.5703125" style="196" customWidth="1"/>
    <col min="2824" max="2824" width="14.85546875" style="196" customWidth="1"/>
    <col min="2825" max="2825" width="11.140625" style="196" customWidth="1"/>
    <col min="2826" max="2826" width="10.85546875" style="196" customWidth="1"/>
    <col min="2827" max="2827" width="13.28515625" style="196" customWidth="1"/>
    <col min="2828" max="2828" width="10.5703125" style="196" bestFit="1" customWidth="1"/>
    <col min="2829" max="2836" width="9.140625" style="196"/>
    <col min="2837" max="2837" width="14.42578125" style="196" customWidth="1"/>
    <col min="2838" max="3072" width="9.140625" style="196"/>
    <col min="3073" max="3073" width="5.140625" style="196" customWidth="1"/>
    <col min="3074" max="3076" width="9.140625" style="196"/>
    <col min="3077" max="3077" width="13.85546875" style="196" customWidth="1"/>
    <col min="3078" max="3078" width="14.28515625" style="196" customWidth="1"/>
    <col min="3079" max="3079" width="16.5703125" style="196" customWidth="1"/>
    <col min="3080" max="3080" width="14.85546875" style="196" customWidth="1"/>
    <col min="3081" max="3081" width="11.140625" style="196" customWidth="1"/>
    <col min="3082" max="3082" width="10.85546875" style="196" customWidth="1"/>
    <col min="3083" max="3083" width="13.28515625" style="196" customWidth="1"/>
    <col min="3084" max="3084" width="10.5703125" style="196" bestFit="1" customWidth="1"/>
    <col min="3085" max="3092" width="9.140625" style="196"/>
    <col min="3093" max="3093" width="14.42578125" style="196" customWidth="1"/>
    <col min="3094" max="3328" width="9.140625" style="196"/>
    <col min="3329" max="3329" width="5.140625" style="196" customWidth="1"/>
    <col min="3330" max="3332" width="9.140625" style="196"/>
    <col min="3333" max="3333" width="13.85546875" style="196" customWidth="1"/>
    <col min="3334" max="3334" width="14.28515625" style="196" customWidth="1"/>
    <col min="3335" max="3335" width="16.5703125" style="196" customWidth="1"/>
    <col min="3336" max="3336" width="14.85546875" style="196" customWidth="1"/>
    <col min="3337" max="3337" width="11.140625" style="196" customWidth="1"/>
    <col min="3338" max="3338" width="10.85546875" style="196" customWidth="1"/>
    <col min="3339" max="3339" width="13.28515625" style="196" customWidth="1"/>
    <col min="3340" max="3340" width="10.5703125" style="196" bestFit="1" customWidth="1"/>
    <col min="3341" max="3348" width="9.140625" style="196"/>
    <col min="3349" max="3349" width="14.42578125" style="196" customWidth="1"/>
    <col min="3350" max="3584" width="9.140625" style="196"/>
    <col min="3585" max="3585" width="5.140625" style="196" customWidth="1"/>
    <col min="3586" max="3588" width="9.140625" style="196"/>
    <col min="3589" max="3589" width="13.85546875" style="196" customWidth="1"/>
    <col min="3590" max="3590" width="14.28515625" style="196" customWidth="1"/>
    <col min="3591" max="3591" width="16.5703125" style="196" customWidth="1"/>
    <col min="3592" max="3592" width="14.85546875" style="196" customWidth="1"/>
    <col min="3593" max="3593" width="11.140625" style="196" customWidth="1"/>
    <col min="3594" max="3594" width="10.85546875" style="196" customWidth="1"/>
    <col min="3595" max="3595" width="13.28515625" style="196" customWidth="1"/>
    <col min="3596" max="3596" width="10.5703125" style="196" bestFit="1" customWidth="1"/>
    <col min="3597" max="3604" width="9.140625" style="196"/>
    <col min="3605" max="3605" width="14.42578125" style="196" customWidth="1"/>
    <col min="3606" max="3840" width="9.140625" style="196"/>
    <col min="3841" max="3841" width="5.140625" style="196" customWidth="1"/>
    <col min="3842" max="3844" width="9.140625" style="196"/>
    <col min="3845" max="3845" width="13.85546875" style="196" customWidth="1"/>
    <col min="3846" max="3846" width="14.28515625" style="196" customWidth="1"/>
    <col min="3847" max="3847" width="16.5703125" style="196" customWidth="1"/>
    <col min="3848" max="3848" width="14.85546875" style="196" customWidth="1"/>
    <col min="3849" max="3849" width="11.140625" style="196" customWidth="1"/>
    <col min="3850" max="3850" width="10.85546875" style="196" customWidth="1"/>
    <col min="3851" max="3851" width="13.28515625" style="196" customWidth="1"/>
    <col min="3852" max="3852" width="10.5703125" style="196" bestFit="1" customWidth="1"/>
    <col min="3853" max="3860" width="9.140625" style="196"/>
    <col min="3861" max="3861" width="14.42578125" style="196" customWidth="1"/>
    <col min="3862" max="4096" width="9.140625" style="196"/>
    <col min="4097" max="4097" width="5.140625" style="196" customWidth="1"/>
    <col min="4098" max="4100" width="9.140625" style="196"/>
    <col min="4101" max="4101" width="13.85546875" style="196" customWidth="1"/>
    <col min="4102" max="4102" width="14.28515625" style="196" customWidth="1"/>
    <col min="4103" max="4103" width="16.5703125" style="196" customWidth="1"/>
    <col min="4104" max="4104" width="14.85546875" style="196" customWidth="1"/>
    <col min="4105" max="4105" width="11.140625" style="196" customWidth="1"/>
    <col min="4106" max="4106" width="10.85546875" style="196" customWidth="1"/>
    <col min="4107" max="4107" width="13.28515625" style="196" customWidth="1"/>
    <col min="4108" max="4108" width="10.5703125" style="196" bestFit="1" customWidth="1"/>
    <col min="4109" max="4116" width="9.140625" style="196"/>
    <col min="4117" max="4117" width="14.42578125" style="196" customWidth="1"/>
    <col min="4118" max="4352" width="9.140625" style="196"/>
    <col min="4353" max="4353" width="5.140625" style="196" customWidth="1"/>
    <col min="4354" max="4356" width="9.140625" style="196"/>
    <col min="4357" max="4357" width="13.85546875" style="196" customWidth="1"/>
    <col min="4358" max="4358" width="14.28515625" style="196" customWidth="1"/>
    <col min="4359" max="4359" width="16.5703125" style="196" customWidth="1"/>
    <col min="4360" max="4360" width="14.85546875" style="196" customWidth="1"/>
    <col min="4361" max="4361" width="11.140625" style="196" customWidth="1"/>
    <col min="4362" max="4362" width="10.85546875" style="196" customWidth="1"/>
    <col min="4363" max="4363" width="13.28515625" style="196" customWidth="1"/>
    <col min="4364" max="4364" width="10.5703125" style="196" bestFit="1" customWidth="1"/>
    <col min="4365" max="4372" width="9.140625" style="196"/>
    <col min="4373" max="4373" width="14.42578125" style="196" customWidth="1"/>
    <col min="4374" max="4608" width="9.140625" style="196"/>
    <col min="4609" max="4609" width="5.140625" style="196" customWidth="1"/>
    <col min="4610" max="4612" width="9.140625" style="196"/>
    <col min="4613" max="4613" width="13.85546875" style="196" customWidth="1"/>
    <col min="4614" max="4614" width="14.28515625" style="196" customWidth="1"/>
    <col min="4615" max="4615" width="16.5703125" style="196" customWidth="1"/>
    <col min="4616" max="4616" width="14.85546875" style="196" customWidth="1"/>
    <col min="4617" max="4617" width="11.140625" style="196" customWidth="1"/>
    <col min="4618" max="4618" width="10.85546875" style="196" customWidth="1"/>
    <col min="4619" max="4619" width="13.28515625" style="196" customWidth="1"/>
    <col min="4620" max="4620" width="10.5703125" style="196" bestFit="1" customWidth="1"/>
    <col min="4621" max="4628" width="9.140625" style="196"/>
    <col min="4629" max="4629" width="14.42578125" style="196" customWidth="1"/>
    <col min="4630" max="4864" width="9.140625" style="196"/>
    <col min="4865" max="4865" width="5.140625" style="196" customWidth="1"/>
    <col min="4866" max="4868" width="9.140625" style="196"/>
    <col min="4869" max="4869" width="13.85546875" style="196" customWidth="1"/>
    <col min="4870" max="4870" width="14.28515625" style="196" customWidth="1"/>
    <col min="4871" max="4871" width="16.5703125" style="196" customWidth="1"/>
    <col min="4872" max="4872" width="14.85546875" style="196" customWidth="1"/>
    <col min="4873" max="4873" width="11.140625" style="196" customWidth="1"/>
    <col min="4874" max="4874" width="10.85546875" style="196" customWidth="1"/>
    <col min="4875" max="4875" width="13.28515625" style="196" customWidth="1"/>
    <col min="4876" max="4876" width="10.5703125" style="196" bestFit="1" customWidth="1"/>
    <col min="4877" max="4884" width="9.140625" style="196"/>
    <col min="4885" max="4885" width="14.42578125" style="196" customWidth="1"/>
    <col min="4886" max="5120" width="9.140625" style="196"/>
    <col min="5121" max="5121" width="5.140625" style="196" customWidth="1"/>
    <col min="5122" max="5124" width="9.140625" style="196"/>
    <col min="5125" max="5125" width="13.85546875" style="196" customWidth="1"/>
    <col min="5126" max="5126" width="14.28515625" style="196" customWidth="1"/>
    <col min="5127" max="5127" width="16.5703125" style="196" customWidth="1"/>
    <col min="5128" max="5128" width="14.85546875" style="196" customWidth="1"/>
    <col min="5129" max="5129" width="11.140625" style="196" customWidth="1"/>
    <col min="5130" max="5130" width="10.85546875" style="196" customWidth="1"/>
    <col min="5131" max="5131" width="13.28515625" style="196" customWidth="1"/>
    <col min="5132" max="5132" width="10.5703125" style="196" bestFit="1" customWidth="1"/>
    <col min="5133" max="5140" width="9.140625" style="196"/>
    <col min="5141" max="5141" width="14.42578125" style="196" customWidth="1"/>
    <col min="5142" max="5376" width="9.140625" style="196"/>
    <col min="5377" max="5377" width="5.140625" style="196" customWidth="1"/>
    <col min="5378" max="5380" width="9.140625" style="196"/>
    <col min="5381" max="5381" width="13.85546875" style="196" customWidth="1"/>
    <col min="5382" max="5382" width="14.28515625" style="196" customWidth="1"/>
    <col min="5383" max="5383" width="16.5703125" style="196" customWidth="1"/>
    <col min="5384" max="5384" width="14.85546875" style="196" customWidth="1"/>
    <col min="5385" max="5385" width="11.140625" style="196" customWidth="1"/>
    <col min="5386" max="5386" width="10.85546875" style="196" customWidth="1"/>
    <col min="5387" max="5387" width="13.28515625" style="196" customWidth="1"/>
    <col min="5388" max="5388" width="10.5703125" style="196" bestFit="1" customWidth="1"/>
    <col min="5389" max="5396" width="9.140625" style="196"/>
    <col min="5397" max="5397" width="14.42578125" style="196" customWidth="1"/>
    <col min="5398" max="5632" width="9.140625" style="196"/>
    <col min="5633" max="5633" width="5.140625" style="196" customWidth="1"/>
    <col min="5634" max="5636" width="9.140625" style="196"/>
    <col min="5637" max="5637" width="13.85546875" style="196" customWidth="1"/>
    <col min="5638" max="5638" width="14.28515625" style="196" customWidth="1"/>
    <col min="5639" max="5639" width="16.5703125" style="196" customWidth="1"/>
    <col min="5640" max="5640" width="14.85546875" style="196" customWidth="1"/>
    <col min="5641" max="5641" width="11.140625" style="196" customWidth="1"/>
    <col min="5642" max="5642" width="10.85546875" style="196" customWidth="1"/>
    <col min="5643" max="5643" width="13.28515625" style="196" customWidth="1"/>
    <col min="5644" max="5644" width="10.5703125" style="196" bestFit="1" customWidth="1"/>
    <col min="5645" max="5652" width="9.140625" style="196"/>
    <col min="5653" max="5653" width="14.42578125" style="196" customWidth="1"/>
    <col min="5654" max="5888" width="9.140625" style="196"/>
    <col min="5889" max="5889" width="5.140625" style="196" customWidth="1"/>
    <col min="5890" max="5892" width="9.140625" style="196"/>
    <col min="5893" max="5893" width="13.85546875" style="196" customWidth="1"/>
    <col min="5894" max="5894" width="14.28515625" style="196" customWidth="1"/>
    <col min="5895" max="5895" width="16.5703125" style="196" customWidth="1"/>
    <col min="5896" max="5896" width="14.85546875" style="196" customWidth="1"/>
    <col min="5897" max="5897" width="11.140625" style="196" customWidth="1"/>
    <col min="5898" max="5898" width="10.85546875" style="196" customWidth="1"/>
    <col min="5899" max="5899" width="13.28515625" style="196" customWidth="1"/>
    <col min="5900" max="5900" width="10.5703125" style="196" bestFit="1" customWidth="1"/>
    <col min="5901" max="5908" width="9.140625" style="196"/>
    <col min="5909" max="5909" width="14.42578125" style="196" customWidth="1"/>
    <col min="5910" max="6144" width="9.140625" style="196"/>
    <col min="6145" max="6145" width="5.140625" style="196" customWidth="1"/>
    <col min="6146" max="6148" width="9.140625" style="196"/>
    <col min="6149" max="6149" width="13.85546875" style="196" customWidth="1"/>
    <col min="6150" max="6150" width="14.28515625" style="196" customWidth="1"/>
    <col min="6151" max="6151" width="16.5703125" style="196" customWidth="1"/>
    <col min="6152" max="6152" width="14.85546875" style="196" customWidth="1"/>
    <col min="6153" max="6153" width="11.140625" style="196" customWidth="1"/>
    <col min="6154" max="6154" width="10.85546875" style="196" customWidth="1"/>
    <col min="6155" max="6155" width="13.28515625" style="196" customWidth="1"/>
    <col min="6156" max="6156" width="10.5703125" style="196" bestFit="1" customWidth="1"/>
    <col min="6157" max="6164" width="9.140625" style="196"/>
    <col min="6165" max="6165" width="14.42578125" style="196" customWidth="1"/>
    <col min="6166" max="6400" width="9.140625" style="196"/>
    <col min="6401" max="6401" width="5.140625" style="196" customWidth="1"/>
    <col min="6402" max="6404" width="9.140625" style="196"/>
    <col min="6405" max="6405" width="13.85546875" style="196" customWidth="1"/>
    <col min="6406" max="6406" width="14.28515625" style="196" customWidth="1"/>
    <col min="6407" max="6407" width="16.5703125" style="196" customWidth="1"/>
    <col min="6408" max="6408" width="14.85546875" style="196" customWidth="1"/>
    <col min="6409" max="6409" width="11.140625" style="196" customWidth="1"/>
    <col min="6410" max="6410" width="10.85546875" style="196" customWidth="1"/>
    <col min="6411" max="6411" width="13.28515625" style="196" customWidth="1"/>
    <col min="6412" max="6412" width="10.5703125" style="196" bestFit="1" customWidth="1"/>
    <col min="6413" max="6420" width="9.140625" style="196"/>
    <col min="6421" max="6421" width="14.42578125" style="196" customWidth="1"/>
    <col min="6422" max="6656" width="9.140625" style="196"/>
    <col min="6657" max="6657" width="5.140625" style="196" customWidth="1"/>
    <col min="6658" max="6660" width="9.140625" style="196"/>
    <col min="6661" max="6661" width="13.85546875" style="196" customWidth="1"/>
    <col min="6662" max="6662" width="14.28515625" style="196" customWidth="1"/>
    <col min="6663" max="6663" width="16.5703125" style="196" customWidth="1"/>
    <col min="6664" max="6664" width="14.85546875" style="196" customWidth="1"/>
    <col min="6665" max="6665" width="11.140625" style="196" customWidth="1"/>
    <col min="6666" max="6666" width="10.85546875" style="196" customWidth="1"/>
    <col min="6667" max="6667" width="13.28515625" style="196" customWidth="1"/>
    <col min="6668" max="6668" width="10.5703125" style="196" bestFit="1" customWidth="1"/>
    <col min="6669" max="6676" width="9.140625" style="196"/>
    <col min="6677" max="6677" width="14.42578125" style="196" customWidth="1"/>
    <col min="6678" max="6912" width="9.140625" style="196"/>
    <col min="6913" max="6913" width="5.140625" style="196" customWidth="1"/>
    <col min="6914" max="6916" width="9.140625" style="196"/>
    <col min="6917" max="6917" width="13.85546875" style="196" customWidth="1"/>
    <col min="6918" max="6918" width="14.28515625" style="196" customWidth="1"/>
    <col min="6919" max="6919" width="16.5703125" style="196" customWidth="1"/>
    <col min="6920" max="6920" width="14.85546875" style="196" customWidth="1"/>
    <col min="6921" max="6921" width="11.140625" style="196" customWidth="1"/>
    <col min="6922" max="6922" width="10.85546875" style="196" customWidth="1"/>
    <col min="6923" max="6923" width="13.28515625" style="196" customWidth="1"/>
    <col min="6924" max="6924" width="10.5703125" style="196" bestFit="1" customWidth="1"/>
    <col min="6925" max="6932" width="9.140625" style="196"/>
    <col min="6933" max="6933" width="14.42578125" style="196" customWidth="1"/>
    <col min="6934" max="7168" width="9.140625" style="196"/>
    <col min="7169" max="7169" width="5.140625" style="196" customWidth="1"/>
    <col min="7170" max="7172" width="9.140625" style="196"/>
    <col min="7173" max="7173" width="13.85546875" style="196" customWidth="1"/>
    <col min="7174" max="7174" width="14.28515625" style="196" customWidth="1"/>
    <col min="7175" max="7175" width="16.5703125" style="196" customWidth="1"/>
    <col min="7176" max="7176" width="14.85546875" style="196" customWidth="1"/>
    <col min="7177" max="7177" width="11.140625" style="196" customWidth="1"/>
    <col min="7178" max="7178" width="10.85546875" style="196" customWidth="1"/>
    <col min="7179" max="7179" width="13.28515625" style="196" customWidth="1"/>
    <col min="7180" max="7180" width="10.5703125" style="196" bestFit="1" customWidth="1"/>
    <col min="7181" max="7188" width="9.140625" style="196"/>
    <col min="7189" max="7189" width="14.42578125" style="196" customWidth="1"/>
    <col min="7190" max="7424" width="9.140625" style="196"/>
    <col min="7425" max="7425" width="5.140625" style="196" customWidth="1"/>
    <col min="7426" max="7428" width="9.140625" style="196"/>
    <col min="7429" max="7429" width="13.85546875" style="196" customWidth="1"/>
    <col min="7430" max="7430" width="14.28515625" style="196" customWidth="1"/>
    <col min="7431" max="7431" width="16.5703125" style="196" customWidth="1"/>
    <col min="7432" max="7432" width="14.85546875" style="196" customWidth="1"/>
    <col min="7433" max="7433" width="11.140625" style="196" customWidth="1"/>
    <col min="7434" max="7434" width="10.85546875" style="196" customWidth="1"/>
    <col min="7435" max="7435" width="13.28515625" style="196" customWidth="1"/>
    <col min="7436" max="7436" width="10.5703125" style="196" bestFit="1" customWidth="1"/>
    <col min="7437" max="7444" width="9.140625" style="196"/>
    <col min="7445" max="7445" width="14.42578125" style="196" customWidth="1"/>
    <col min="7446" max="7680" width="9.140625" style="196"/>
    <col min="7681" max="7681" width="5.140625" style="196" customWidth="1"/>
    <col min="7682" max="7684" width="9.140625" style="196"/>
    <col min="7685" max="7685" width="13.85546875" style="196" customWidth="1"/>
    <col min="7686" max="7686" width="14.28515625" style="196" customWidth="1"/>
    <col min="7687" max="7687" width="16.5703125" style="196" customWidth="1"/>
    <col min="7688" max="7688" width="14.85546875" style="196" customWidth="1"/>
    <col min="7689" max="7689" width="11.140625" style="196" customWidth="1"/>
    <col min="7690" max="7690" width="10.85546875" style="196" customWidth="1"/>
    <col min="7691" max="7691" width="13.28515625" style="196" customWidth="1"/>
    <col min="7692" max="7692" width="10.5703125" style="196" bestFit="1" customWidth="1"/>
    <col min="7693" max="7700" width="9.140625" style="196"/>
    <col min="7701" max="7701" width="14.42578125" style="196" customWidth="1"/>
    <col min="7702" max="7936" width="9.140625" style="196"/>
    <col min="7937" max="7937" width="5.140625" style="196" customWidth="1"/>
    <col min="7938" max="7940" width="9.140625" style="196"/>
    <col min="7941" max="7941" width="13.85546875" style="196" customWidth="1"/>
    <col min="7942" max="7942" width="14.28515625" style="196" customWidth="1"/>
    <col min="7943" max="7943" width="16.5703125" style="196" customWidth="1"/>
    <col min="7944" max="7944" width="14.85546875" style="196" customWidth="1"/>
    <col min="7945" max="7945" width="11.140625" style="196" customWidth="1"/>
    <col min="7946" max="7946" width="10.85546875" style="196" customWidth="1"/>
    <col min="7947" max="7947" width="13.28515625" style="196" customWidth="1"/>
    <col min="7948" max="7948" width="10.5703125" style="196" bestFit="1" customWidth="1"/>
    <col min="7949" max="7956" width="9.140625" style="196"/>
    <col min="7957" max="7957" width="14.42578125" style="196" customWidth="1"/>
    <col min="7958" max="8192" width="9.140625" style="196"/>
    <col min="8193" max="8193" width="5.140625" style="196" customWidth="1"/>
    <col min="8194" max="8196" width="9.140625" style="196"/>
    <col min="8197" max="8197" width="13.85546875" style="196" customWidth="1"/>
    <col min="8198" max="8198" width="14.28515625" style="196" customWidth="1"/>
    <col min="8199" max="8199" width="16.5703125" style="196" customWidth="1"/>
    <col min="8200" max="8200" width="14.85546875" style="196" customWidth="1"/>
    <col min="8201" max="8201" width="11.140625" style="196" customWidth="1"/>
    <col min="8202" max="8202" width="10.85546875" style="196" customWidth="1"/>
    <col min="8203" max="8203" width="13.28515625" style="196" customWidth="1"/>
    <col min="8204" max="8204" width="10.5703125" style="196" bestFit="1" customWidth="1"/>
    <col min="8205" max="8212" width="9.140625" style="196"/>
    <col min="8213" max="8213" width="14.42578125" style="196" customWidth="1"/>
    <col min="8214" max="8448" width="9.140625" style="196"/>
    <col min="8449" max="8449" width="5.140625" style="196" customWidth="1"/>
    <col min="8450" max="8452" width="9.140625" style="196"/>
    <col min="8453" max="8453" width="13.85546875" style="196" customWidth="1"/>
    <col min="8454" max="8454" width="14.28515625" style="196" customWidth="1"/>
    <col min="8455" max="8455" width="16.5703125" style="196" customWidth="1"/>
    <col min="8456" max="8456" width="14.85546875" style="196" customWidth="1"/>
    <col min="8457" max="8457" width="11.140625" style="196" customWidth="1"/>
    <col min="8458" max="8458" width="10.85546875" style="196" customWidth="1"/>
    <col min="8459" max="8459" width="13.28515625" style="196" customWidth="1"/>
    <col min="8460" max="8460" width="10.5703125" style="196" bestFit="1" customWidth="1"/>
    <col min="8461" max="8468" width="9.140625" style="196"/>
    <col min="8469" max="8469" width="14.42578125" style="196" customWidth="1"/>
    <col min="8470" max="8704" width="9.140625" style="196"/>
    <col min="8705" max="8705" width="5.140625" style="196" customWidth="1"/>
    <col min="8706" max="8708" width="9.140625" style="196"/>
    <col min="8709" max="8709" width="13.85546875" style="196" customWidth="1"/>
    <col min="8710" max="8710" width="14.28515625" style="196" customWidth="1"/>
    <col min="8711" max="8711" width="16.5703125" style="196" customWidth="1"/>
    <col min="8712" max="8712" width="14.85546875" style="196" customWidth="1"/>
    <col min="8713" max="8713" width="11.140625" style="196" customWidth="1"/>
    <col min="8714" max="8714" width="10.85546875" style="196" customWidth="1"/>
    <col min="8715" max="8715" width="13.28515625" style="196" customWidth="1"/>
    <col min="8716" max="8716" width="10.5703125" style="196" bestFit="1" customWidth="1"/>
    <col min="8717" max="8724" width="9.140625" style="196"/>
    <col min="8725" max="8725" width="14.42578125" style="196" customWidth="1"/>
    <col min="8726" max="8960" width="9.140625" style="196"/>
    <col min="8961" max="8961" width="5.140625" style="196" customWidth="1"/>
    <col min="8962" max="8964" width="9.140625" style="196"/>
    <col min="8965" max="8965" width="13.85546875" style="196" customWidth="1"/>
    <col min="8966" max="8966" width="14.28515625" style="196" customWidth="1"/>
    <col min="8967" max="8967" width="16.5703125" style="196" customWidth="1"/>
    <col min="8968" max="8968" width="14.85546875" style="196" customWidth="1"/>
    <col min="8969" max="8969" width="11.140625" style="196" customWidth="1"/>
    <col min="8970" max="8970" width="10.85546875" style="196" customWidth="1"/>
    <col min="8971" max="8971" width="13.28515625" style="196" customWidth="1"/>
    <col min="8972" max="8972" width="10.5703125" style="196" bestFit="1" customWidth="1"/>
    <col min="8973" max="8980" width="9.140625" style="196"/>
    <col min="8981" max="8981" width="14.42578125" style="196" customWidth="1"/>
    <col min="8982" max="9216" width="9.140625" style="196"/>
    <col min="9217" max="9217" width="5.140625" style="196" customWidth="1"/>
    <col min="9218" max="9220" width="9.140625" style="196"/>
    <col min="9221" max="9221" width="13.85546875" style="196" customWidth="1"/>
    <col min="9222" max="9222" width="14.28515625" style="196" customWidth="1"/>
    <col min="9223" max="9223" width="16.5703125" style="196" customWidth="1"/>
    <col min="9224" max="9224" width="14.85546875" style="196" customWidth="1"/>
    <col min="9225" max="9225" width="11.140625" style="196" customWidth="1"/>
    <col min="9226" max="9226" width="10.85546875" style="196" customWidth="1"/>
    <col min="9227" max="9227" width="13.28515625" style="196" customWidth="1"/>
    <col min="9228" max="9228" width="10.5703125" style="196" bestFit="1" customWidth="1"/>
    <col min="9229" max="9236" width="9.140625" style="196"/>
    <col min="9237" max="9237" width="14.42578125" style="196" customWidth="1"/>
    <col min="9238" max="9472" width="9.140625" style="196"/>
    <col min="9473" max="9473" width="5.140625" style="196" customWidth="1"/>
    <col min="9474" max="9476" width="9.140625" style="196"/>
    <col min="9477" max="9477" width="13.85546875" style="196" customWidth="1"/>
    <col min="9478" max="9478" width="14.28515625" style="196" customWidth="1"/>
    <col min="9479" max="9479" width="16.5703125" style="196" customWidth="1"/>
    <col min="9480" max="9480" width="14.85546875" style="196" customWidth="1"/>
    <col min="9481" max="9481" width="11.140625" style="196" customWidth="1"/>
    <col min="9482" max="9482" width="10.85546875" style="196" customWidth="1"/>
    <col min="9483" max="9483" width="13.28515625" style="196" customWidth="1"/>
    <col min="9484" max="9484" width="10.5703125" style="196" bestFit="1" customWidth="1"/>
    <col min="9485" max="9492" width="9.140625" style="196"/>
    <col min="9493" max="9493" width="14.42578125" style="196" customWidth="1"/>
    <col min="9494" max="9728" width="9.140625" style="196"/>
    <col min="9729" max="9729" width="5.140625" style="196" customWidth="1"/>
    <col min="9730" max="9732" width="9.140625" style="196"/>
    <col min="9733" max="9733" width="13.85546875" style="196" customWidth="1"/>
    <col min="9734" max="9734" width="14.28515625" style="196" customWidth="1"/>
    <col min="9735" max="9735" width="16.5703125" style="196" customWidth="1"/>
    <col min="9736" max="9736" width="14.85546875" style="196" customWidth="1"/>
    <col min="9737" max="9737" width="11.140625" style="196" customWidth="1"/>
    <col min="9738" max="9738" width="10.85546875" style="196" customWidth="1"/>
    <col min="9739" max="9739" width="13.28515625" style="196" customWidth="1"/>
    <col min="9740" max="9740" width="10.5703125" style="196" bestFit="1" customWidth="1"/>
    <col min="9741" max="9748" width="9.140625" style="196"/>
    <col min="9749" max="9749" width="14.42578125" style="196" customWidth="1"/>
    <col min="9750" max="9984" width="9.140625" style="196"/>
    <col min="9985" max="9985" width="5.140625" style="196" customWidth="1"/>
    <col min="9986" max="9988" width="9.140625" style="196"/>
    <col min="9989" max="9989" width="13.85546875" style="196" customWidth="1"/>
    <col min="9990" max="9990" width="14.28515625" style="196" customWidth="1"/>
    <col min="9991" max="9991" width="16.5703125" style="196" customWidth="1"/>
    <col min="9992" max="9992" width="14.85546875" style="196" customWidth="1"/>
    <col min="9993" max="9993" width="11.140625" style="196" customWidth="1"/>
    <col min="9994" max="9994" width="10.85546875" style="196" customWidth="1"/>
    <col min="9995" max="9995" width="13.28515625" style="196" customWidth="1"/>
    <col min="9996" max="9996" width="10.5703125" style="196" bestFit="1" customWidth="1"/>
    <col min="9997" max="10004" width="9.140625" style="196"/>
    <col min="10005" max="10005" width="14.42578125" style="196" customWidth="1"/>
    <col min="10006" max="10240" width="9.140625" style="196"/>
    <col min="10241" max="10241" width="5.140625" style="196" customWidth="1"/>
    <col min="10242" max="10244" width="9.140625" style="196"/>
    <col min="10245" max="10245" width="13.85546875" style="196" customWidth="1"/>
    <col min="10246" max="10246" width="14.28515625" style="196" customWidth="1"/>
    <col min="10247" max="10247" width="16.5703125" style="196" customWidth="1"/>
    <col min="10248" max="10248" width="14.85546875" style="196" customWidth="1"/>
    <col min="10249" max="10249" width="11.140625" style="196" customWidth="1"/>
    <col min="10250" max="10250" width="10.85546875" style="196" customWidth="1"/>
    <col min="10251" max="10251" width="13.28515625" style="196" customWidth="1"/>
    <col min="10252" max="10252" width="10.5703125" style="196" bestFit="1" customWidth="1"/>
    <col min="10253" max="10260" width="9.140625" style="196"/>
    <col min="10261" max="10261" width="14.42578125" style="196" customWidth="1"/>
    <col min="10262" max="10496" width="9.140625" style="196"/>
    <col min="10497" max="10497" width="5.140625" style="196" customWidth="1"/>
    <col min="10498" max="10500" width="9.140625" style="196"/>
    <col min="10501" max="10501" width="13.85546875" style="196" customWidth="1"/>
    <col min="10502" max="10502" width="14.28515625" style="196" customWidth="1"/>
    <col min="10503" max="10503" width="16.5703125" style="196" customWidth="1"/>
    <col min="10504" max="10504" width="14.85546875" style="196" customWidth="1"/>
    <col min="10505" max="10505" width="11.140625" style="196" customWidth="1"/>
    <col min="10506" max="10506" width="10.85546875" style="196" customWidth="1"/>
    <col min="10507" max="10507" width="13.28515625" style="196" customWidth="1"/>
    <col min="10508" max="10508" width="10.5703125" style="196" bestFit="1" customWidth="1"/>
    <col min="10509" max="10516" width="9.140625" style="196"/>
    <col min="10517" max="10517" width="14.42578125" style="196" customWidth="1"/>
    <col min="10518" max="10752" width="9.140625" style="196"/>
    <col min="10753" max="10753" width="5.140625" style="196" customWidth="1"/>
    <col min="10754" max="10756" width="9.140625" style="196"/>
    <col min="10757" max="10757" width="13.85546875" style="196" customWidth="1"/>
    <col min="10758" max="10758" width="14.28515625" style="196" customWidth="1"/>
    <col min="10759" max="10759" width="16.5703125" style="196" customWidth="1"/>
    <col min="10760" max="10760" width="14.85546875" style="196" customWidth="1"/>
    <col min="10761" max="10761" width="11.140625" style="196" customWidth="1"/>
    <col min="10762" max="10762" width="10.85546875" style="196" customWidth="1"/>
    <col min="10763" max="10763" width="13.28515625" style="196" customWidth="1"/>
    <col min="10764" max="10764" width="10.5703125" style="196" bestFit="1" customWidth="1"/>
    <col min="10765" max="10772" width="9.140625" style="196"/>
    <col min="10773" max="10773" width="14.42578125" style="196" customWidth="1"/>
    <col min="10774" max="11008" width="9.140625" style="196"/>
    <col min="11009" max="11009" width="5.140625" style="196" customWidth="1"/>
    <col min="11010" max="11012" width="9.140625" style="196"/>
    <col min="11013" max="11013" width="13.85546875" style="196" customWidth="1"/>
    <col min="11014" max="11014" width="14.28515625" style="196" customWidth="1"/>
    <col min="11015" max="11015" width="16.5703125" style="196" customWidth="1"/>
    <col min="11016" max="11016" width="14.85546875" style="196" customWidth="1"/>
    <col min="11017" max="11017" width="11.140625" style="196" customWidth="1"/>
    <col min="11018" max="11018" width="10.85546875" style="196" customWidth="1"/>
    <col min="11019" max="11019" width="13.28515625" style="196" customWidth="1"/>
    <col min="11020" max="11020" width="10.5703125" style="196" bestFit="1" customWidth="1"/>
    <col min="11021" max="11028" width="9.140625" style="196"/>
    <col min="11029" max="11029" width="14.42578125" style="196" customWidth="1"/>
    <col min="11030" max="11264" width="9.140625" style="196"/>
    <col min="11265" max="11265" width="5.140625" style="196" customWidth="1"/>
    <col min="11266" max="11268" width="9.140625" style="196"/>
    <col min="11269" max="11269" width="13.85546875" style="196" customWidth="1"/>
    <col min="11270" max="11270" width="14.28515625" style="196" customWidth="1"/>
    <col min="11271" max="11271" width="16.5703125" style="196" customWidth="1"/>
    <col min="11272" max="11272" width="14.85546875" style="196" customWidth="1"/>
    <col min="11273" max="11273" width="11.140625" style="196" customWidth="1"/>
    <col min="11274" max="11274" width="10.85546875" style="196" customWidth="1"/>
    <col min="11275" max="11275" width="13.28515625" style="196" customWidth="1"/>
    <col min="11276" max="11276" width="10.5703125" style="196" bestFit="1" customWidth="1"/>
    <col min="11277" max="11284" width="9.140625" style="196"/>
    <col min="11285" max="11285" width="14.42578125" style="196" customWidth="1"/>
    <col min="11286" max="11520" width="9.140625" style="196"/>
    <col min="11521" max="11521" width="5.140625" style="196" customWidth="1"/>
    <col min="11522" max="11524" width="9.140625" style="196"/>
    <col min="11525" max="11525" width="13.85546875" style="196" customWidth="1"/>
    <col min="11526" max="11526" width="14.28515625" style="196" customWidth="1"/>
    <col min="11527" max="11527" width="16.5703125" style="196" customWidth="1"/>
    <col min="11528" max="11528" width="14.85546875" style="196" customWidth="1"/>
    <col min="11529" max="11529" width="11.140625" style="196" customWidth="1"/>
    <col min="11530" max="11530" width="10.85546875" style="196" customWidth="1"/>
    <col min="11531" max="11531" width="13.28515625" style="196" customWidth="1"/>
    <col min="11532" max="11532" width="10.5703125" style="196" bestFit="1" customWidth="1"/>
    <col min="11533" max="11540" width="9.140625" style="196"/>
    <col min="11541" max="11541" width="14.42578125" style="196" customWidth="1"/>
    <col min="11542" max="11776" width="9.140625" style="196"/>
    <col min="11777" max="11777" width="5.140625" style="196" customWidth="1"/>
    <col min="11778" max="11780" width="9.140625" style="196"/>
    <col min="11781" max="11781" width="13.85546875" style="196" customWidth="1"/>
    <col min="11782" max="11782" width="14.28515625" style="196" customWidth="1"/>
    <col min="11783" max="11783" width="16.5703125" style="196" customWidth="1"/>
    <col min="11784" max="11784" width="14.85546875" style="196" customWidth="1"/>
    <col min="11785" max="11785" width="11.140625" style="196" customWidth="1"/>
    <col min="11786" max="11786" width="10.85546875" style="196" customWidth="1"/>
    <col min="11787" max="11787" width="13.28515625" style="196" customWidth="1"/>
    <col min="11788" max="11788" width="10.5703125" style="196" bestFit="1" customWidth="1"/>
    <col min="11789" max="11796" width="9.140625" style="196"/>
    <col min="11797" max="11797" width="14.42578125" style="196" customWidth="1"/>
    <col min="11798" max="12032" width="9.140625" style="196"/>
    <col min="12033" max="12033" width="5.140625" style="196" customWidth="1"/>
    <col min="12034" max="12036" width="9.140625" style="196"/>
    <col min="12037" max="12037" width="13.85546875" style="196" customWidth="1"/>
    <col min="12038" max="12038" width="14.28515625" style="196" customWidth="1"/>
    <col min="12039" max="12039" width="16.5703125" style="196" customWidth="1"/>
    <col min="12040" max="12040" width="14.85546875" style="196" customWidth="1"/>
    <col min="12041" max="12041" width="11.140625" style="196" customWidth="1"/>
    <col min="12042" max="12042" width="10.85546875" style="196" customWidth="1"/>
    <col min="12043" max="12043" width="13.28515625" style="196" customWidth="1"/>
    <col min="12044" max="12044" width="10.5703125" style="196" bestFit="1" customWidth="1"/>
    <col min="12045" max="12052" width="9.140625" style="196"/>
    <col min="12053" max="12053" width="14.42578125" style="196" customWidth="1"/>
    <col min="12054" max="12288" width="9.140625" style="196"/>
    <col min="12289" max="12289" width="5.140625" style="196" customWidth="1"/>
    <col min="12290" max="12292" width="9.140625" style="196"/>
    <col min="12293" max="12293" width="13.85546875" style="196" customWidth="1"/>
    <col min="12294" max="12294" width="14.28515625" style="196" customWidth="1"/>
    <col min="12295" max="12295" width="16.5703125" style="196" customWidth="1"/>
    <col min="12296" max="12296" width="14.85546875" style="196" customWidth="1"/>
    <col min="12297" max="12297" width="11.140625" style="196" customWidth="1"/>
    <col min="12298" max="12298" width="10.85546875" style="196" customWidth="1"/>
    <col min="12299" max="12299" width="13.28515625" style="196" customWidth="1"/>
    <col min="12300" max="12300" width="10.5703125" style="196" bestFit="1" customWidth="1"/>
    <col min="12301" max="12308" width="9.140625" style="196"/>
    <col min="12309" max="12309" width="14.42578125" style="196" customWidth="1"/>
    <col min="12310" max="12544" width="9.140625" style="196"/>
    <col min="12545" max="12545" width="5.140625" style="196" customWidth="1"/>
    <col min="12546" max="12548" width="9.140625" style="196"/>
    <col min="12549" max="12549" width="13.85546875" style="196" customWidth="1"/>
    <col min="12550" max="12550" width="14.28515625" style="196" customWidth="1"/>
    <col min="12551" max="12551" width="16.5703125" style="196" customWidth="1"/>
    <col min="12552" max="12552" width="14.85546875" style="196" customWidth="1"/>
    <col min="12553" max="12553" width="11.140625" style="196" customWidth="1"/>
    <col min="12554" max="12554" width="10.85546875" style="196" customWidth="1"/>
    <col min="12555" max="12555" width="13.28515625" style="196" customWidth="1"/>
    <col min="12556" max="12556" width="10.5703125" style="196" bestFit="1" customWidth="1"/>
    <col min="12557" max="12564" width="9.140625" style="196"/>
    <col min="12565" max="12565" width="14.42578125" style="196" customWidth="1"/>
    <col min="12566" max="12800" width="9.140625" style="196"/>
    <col min="12801" max="12801" width="5.140625" style="196" customWidth="1"/>
    <col min="12802" max="12804" width="9.140625" style="196"/>
    <col min="12805" max="12805" width="13.85546875" style="196" customWidth="1"/>
    <col min="12806" max="12806" width="14.28515625" style="196" customWidth="1"/>
    <col min="12807" max="12807" width="16.5703125" style="196" customWidth="1"/>
    <col min="12808" max="12808" width="14.85546875" style="196" customWidth="1"/>
    <col min="12809" max="12809" width="11.140625" style="196" customWidth="1"/>
    <col min="12810" max="12810" width="10.85546875" style="196" customWidth="1"/>
    <col min="12811" max="12811" width="13.28515625" style="196" customWidth="1"/>
    <col min="12812" max="12812" width="10.5703125" style="196" bestFit="1" customWidth="1"/>
    <col min="12813" max="12820" width="9.140625" style="196"/>
    <col min="12821" max="12821" width="14.42578125" style="196" customWidth="1"/>
    <col min="12822" max="13056" width="9.140625" style="196"/>
    <col min="13057" max="13057" width="5.140625" style="196" customWidth="1"/>
    <col min="13058" max="13060" width="9.140625" style="196"/>
    <col min="13061" max="13061" width="13.85546875" style="196" customWidth="1"/>
    <col min="13062" max="13062" width="14.28515625" style="196" customWidth="1"/>
    <col min="13063" max="13063" width="16.5703125" style="196" customWidth="1"/>
    <col min="13064" max="13064" width="14.85546875" style="196" customWidth="1"/>
    <col min="13065" max="13065" width="11.140625" style="196" customWidth="1"/>
    <col min="13066" max="13066" width="10.85546875" style="196" customWidth="1"/>
    <col min="13067" max="13067" width="13.28515625" style="196" customWidth="1"/>
    <col min="13068" max="13068" width="10.5703125" style="196" bestFit="1" customWidth="1"/>
    <col min="13069" max="13076" width="9.140625" style="196"/>
    <col min="13077" max="13077" width="14.42578125" style="196" customWidth="1"/>
    <col min="13078" max="13312" width="9.140625" style="196"/>
    <col min="13313" max="13313" width="5.140625" style="196" customWidth="1"/>
    <col min="13314" max="13316" width="9.140625" style="196"/>
    <col min="13317" max="13317" width="13.85546875" style="196" customWidth="1"/>
    <col min="13318" max="13318" width="14.28515625" style="196" customWidth="1"/>
    <col min="13319" max="13319" width="16.5703125" style="196" customWidth="1"/>
    <col min="13320" max="13320" width="14.85546875" style="196" customWidth="1"/>
    <col min="13321" max="13321" width="11.140625" style="196" customWidth="1"/>
    <col min="13322" max="13322" width="10.85546875" style="196" customWidth="1"/>
    <col min="13323" max="13323" width="13.28515625" style="196" customWidth="1"/>
    <col min="13324" max="13324" width="10.5703125" style="196" bestFit="1" customWidth="1"/>
    <col min="13325" max="13332" width="9.140625" style="196"/>
    <col min="13333" max="13333" width="14.42578125" style="196" customWidth="1"/>
    <col min="13334" max="13568" width="9.140625" style="196"/>
    <col min="13569" max="13569" width="5.140625" style="196" customWidth="1"/>
    <col min="13570" max="13572" width="9.140625" style="196"/>
    <col min="13573" max="13573" width="13.85546875" style="196" customWidth="1"/>
    <col min="13574" max="13574" width="14.28515625" style="196" customWidth="1"/>
    <col min="13575" max="13575" width="16.5703125" style="196" customWidth="1"/>
    <col min="13576" max="13576" width="14.85546875" style="196" customWidth="1"/>
    <col min="13577" max="13577" width="11.140625" style="196" customWidth="1"/>
    <col min="13578" max="13578" width="10.85546875" style="196" customWidth="1"/>
    <col min="13579" max="13579" width="13.28515625" style="196" customWidth="1"/>
    <col min="13580" max="13580" width="10.5703125" style="196" bestFit="1" customWidth="1"/>
    <col min="13581" max="13588" width="9.140625" style="196"/>
    <col min="13589" max="13589" width="14.42578125" style="196" customWidth="1"/>
    <col min="13590" max="13824" width="9.140625" style="196"/>
    <col min="13825" max="13825" width="5.140625" style="196" customWidth="1"/>
    <col min="13826" max="13828" width="9.140625" style="196"/>
    <col min="13829" max="13829" width="13.85546875" style="196" customWidth="1"/>
    <col min="13830" max="13830" width="14.28515625" style="196" customWidth="1"/>
    <col min="13831" max="13831" width="16.5703125" style="196" customWidth="1"/>
    <col min="13832" max="13832" width="14.85546875" style="196" customWidth="1"/>
    <col min="13833" max="13833" width="11.140625" style="196" customWidth="1"/>
    <col min="13834" max="13834" width="10.85546875" style="196" customWidth="1"/>
    <col min="13835" max="13835" width="13.28515625" style="196" customWidth="1"/>
    <col min="13836" max="13836" width="10.5703125" style="196" bestFit="1" customWidth="1"/>
    <col min="13837" max="13844" width="9.140625" style="196"/>
    <col min="13845" max="13845" width="14.42578125" style="196" customWidth="1"/>
    <col min="13846" max="14080" width="9.140625" style="196"/>
    <col min="14081" max="14081" width="5.140625" style="196" customWidth="1"/>
    <col min="14082" max="14084" width="9.140625" style="196"/>
    <col min="14085" max="14085" width="13.85546875" style="196" customWidth="1"/>
    <col min="14086" max="14086" width="14.28515625" style="196" customWidth="1"/>
    <col min="14087" max="14087" width="16.5703125" style="196" customWidth="1"/>
    <col min="14088" max="14088" width="14.85546875" style="196" customWidth="1"/>
    <col min="14089" max="14089" width="11.140625" style="196" customWidth="1"/>
    <col min="14090" max="14090" width="10.85546875" style="196" customWidth="1"/>
    <col min="14091" max="14091" width="13.28515625" style="196" customWidth="1"/>
    <col min="14092" max="14092" width="10.5703125" style="196" bestFit="1" customWidth="1"/>
    <col min="14093" max="14100" width="9.140625" style="196"/>
    <col min="14101" max="14101" width="14.42578125" style="196" customWidth="1"/>
    <col min="14102" max="14336" width="9.140625" style="196"/>
    <col min="14337" max="14337" width="5.140625" style="196" customWidth="1"/>
    <col min="14338" max="14340" width="9.140625" style="196"/>
    <col min="14341" max="14341" width="13.85546875" style="196" customWidth="1"/>
    <col min="14342" max="14342" width="14.28515625" style="196" customWidth="1"/>
    <col min="14343" max="14343" width="16.5703125" style="196" customWidth="1"/>
    <col min="14344" max="14344" width="14.85546875" style="196" customWidth="1"/>
    <col min="14345" max="14345" width="11.140625" style="196" customWidth="1"/>
    <col min="14346" max="14346" width="10.85546875" style="196" customWidth="1"/>
    <col min="14347" max="14347" width="13.28515625" style="196" customWidth="1"/>
    <col min="14348" max="14348" width="10.5703125" style="196" bestFit="1" customWidth="1"/>
    <col min="14349" max="14356" width="9.140625" style="196"/>
    <col min="14357" max="14357" width="14.42578125" style="196" customWidth="1"/>
    <col min="14358" max="14592" width="9.140625" style="196"/>
    <col min="14593" max="14593" width="5.140625" style="196" customWidth="1"/>
    <col min="14594" max="14596" width="9.140625" style="196"/>
    <col min="14597" max="14597" width="13.85546875" style="196" customWidth="1"/>
    <col min="14598" max="14598" width="14.28515625" style="196" customWidth="1"/>
    <col min="14599" max="14599" width="16.5703125" style="196" customWidth="1"/>
    <col min="14600" max="14600" width="14.85546875" style="196" customWidth="1"/>
    <col min="14601" max="14601" width="11.140625" style="196" customWidth="1"/>
    <col min="14602" max="14602" width="10.85546875" style="196" customWidth="1"/>
    <col min="14603" max="14603" width="13.28515625" style="196" customWidth="1"/>
    <col min="14604" max="14604" width="10.5703125" style="196" bestFit="1" customWidth="1"/>
    <col min="14605" max="14612" width="9.140625" style="196"/>
    <col min="14613" max="14613" width="14.42578125" style="196" customWidth="1"/>
    <col min="14614" max="14848" width="9.140625" style="196"/>
    <col min="14849" max="14849" width="5.140625" style="196" customWidth="1"/>
    <col min="14850" max="14852" width="9.140625" style="196"/>
    <col min="14853" max="14853" width="13.85546875" style="196" customWidth="1"/>
    <col min="14854" max="14854" width="14.28515625" style="196" customWidth="1"/>
    <col min="14855" max="14855" width="16.5703125" style="196" customWidth="1"/>
    <col min="14856" max="14856" width="14.85546875" style="196" customWidth="1"/>
    <col min="14857" max="14857" width="11.140625" style="196" customWidth="1"/>
    <col min="14858" max="14858" width="10.85546875" style="196" customWidth="1"/>
    <col min="14859" max="14859" width="13.28515625" style="196" customWidth="1"/>
    <col min="14860" max="14860" width="10.5703125" style="196" bestFit="1" customWidth="1"/>
    <col min="14861" max="14868" width="9.140625" style="196"/>
    <col min="14869" max="14869" width="14.42578125" style="196" customWidth="1"/>
    <col min="14870" max="15104" width="9.140625" style="196"/>
    <col min="15105" max="15105" width="5.140625" style="196" customWidth="1"/>
    <col min="15106" max="15108" width="9.140625" style="196"/>
    <col min="15109" max="15109" width="13.85546875" style="196" customWidth="1"/>
    <col min="15110" max="15110" width="14.28515625" style="196" customWidth="1"/>
    <col min="15111" max="15111" width="16.5703125" style="196" customWidth="1"/>
    <col min="15112" max="15112" width="14.85546875" style="196" customWidth="1"/>
    <col min="15113" max="15113" width="11.140625" style="196" customWidth="1"/>
    <col min="15114" max="15114" width="10.85546875" style="196" customWidth="1"/>
    <col min="15115" max="15115" width="13.28515625" style="196" customWidth="1"/>
    <col min="15116" max="15116" width="10.5703125" style="196" bestFit="1" customWidth="1"/>
    <col min="15117" max="15124" width="9.140625" style="196"/>
    <col min="15125" max="15125" width="14.42578125" style="196" customWidth="1"/>
    <col min="15126" max="15360" width="9.140625" style="196"/>
    <col min="15361" max="15361" width="5.140625" style="196" customWidth="1"/>
    <col min="15362" max="15364" width="9.140625" style="196"/>
    <col min="15365" max="15365" width="13.85546875" style="196" customWidth="1"/>
    <col min="15366" max="15366" width="14.28515625" style="196" customWidth="1"/>
    <col min="15367" max="15367" width="16.5703125" style="196" customWidth="1"/>
    <col min="15368" max="15368" width="14.85546875" style="196" customWidth="1"/>
    <col min="15369" max="15369" width="11.140625" style="196" customWidth="1"/>
    <col min="15370" max="15370" width="10.85546875" style="196" customWidth="1"/>
    <col min="15371" max="15371" width="13.28515625" style="196" customWidth="1"/>
    <col min="15372" max="15372" width="10.5703125" style="196" bestFit="1" customWidth="1"/>
    <col min="15373" max="15380" width="9.140625" style="196"/>
    <col min="15381" max="15381" width="14.42578125" style="196" customWidth="1"/>
    <col min="15382" max="15616" width="9.140625" style="196"/>
    <col min="15617" max="15617" width="5.140625" style="196" customWidth="1"/>
    <col min="15618" max="15620" width="9.140625" style="196"/>
    <col min="15621" max="15621" width="13.85546875" style="196" customWidth="1"/>
    <col min="15622" max="15622" width="14.28515625" style="196" customWidth="1"/>
    <col min="15623" max="15623" width="16.5703125" style="196" customWidth="1"/>
    <col min="15624" max="15624" width="14.85546875" style="196" customWidth="1"/>
    <col min="15625" max="15625" width="11.140625" style="196" customWidth="1"/>
    <col min="15626" max="15626" width="10.85546875" style="196" customWidth="1"/>
    <col min="15627" max="15627" width="13.28515625" style="196" customWidth="1"/>
    <col min="15628" max="15628" width="10.5703125" style="196" bestFit="1" customWidth="1"/>
    <col min="15629" max="15636" width="9.140625" style="196"/>
    <col min="15637" max="15637" width="14.42578125" style="196" customWidth="1"/>
    <col min="15638" max="15872" width="9.140625" style="196"/>
    <col min="15873" max="15873" width="5.140625" style="196" customWidth="1"/>
    <col min="15874" max="15876" width="9.140625" style="196"/>
    <col min="15877" max="15877" width="13.85546875" style="196" customWidth="1"/>
    <col min="15878" max="15878" width="14.28515625" style="196" customWidth="1"/>
    <col min="15879" max="15879" width="16.5703125" style="196" customWidth="1"/>
    <col min="15880" max="15880" width="14.85546875" style="196" customWidth="1"/>
    <col min="15881" max="15881" width="11.140625" style="196" customWidth="1"/>
    <col min="15882" max="15882" width="10.85546875" style="196" customWidth="1"/>
    <col min="15883" max="15883" width="13.28515625" style="196" customWidth="1"/>
    <col min="15884" max="15884" width="10.5703125" style="196" bestFit="1" customWidth="1"/>
    <col min="15885" max="15892" width="9.140625" style="196"/>
    <col min="15893" max="15893" width="14.42578125" style="196" customWidth="1"/>
    <col min="15894" max="16128" width="9.140625" style="196"/>
    <col min="16129" max="16129" width="5.140625" style="196" customWidth="1"/>
    <col min="16130" max="16132" width="9.140625" style="196"/>
    <col min="16133" max="16133" width="13.85546875" style="196" customWidth="1"/>
    <col min="16134" max="16134" width="14.28515625" style="196" customWidth="1"/>
    <col min="16135" max="16135" width="16.5703125" style="196" customWidth="1"/>
    <col min="16136" max="16136" width="14.85546875" style="196" customWidth="1"/>
    <col min="16137" max="16137" width="11.140625" style="196" customWidth="1"/>
    <col min="16138" max="16138" width="10.85546875" style="196" customWidth="1"/>
    <col min="16139" max="16139" width="13.28515625" style="196" customWidth="1"/>
    <col min="16140" max="16140" width="10.5703125" style="196" bestFit="1" customWidth="1"/>
    <col min="16141" max="16148" width="9.140625" style="196"/>
    <col min="16149" max="16149" width="14.42578125" style="196" customWidth="1"/>
    <col min="16150" max="16384" width="9.140625" style="196"/>
  </cols>
  <sheetData>
    <row r="1" spans="2:25" ht="22.5" customHeight="1" x14ac:dyDescent="0.2">
      <c r="B1" s="813" t="s">
        <v>303</v>
      </c>
      <c r="C1" s="813"/>
      <c r="D1" s="813"/>
      <c r="E1" s="813"/>
      <c r="F1" s="813"/>
      <c r="G1" s="813"/>
      <c r="H1" s="813"/>
    </row>
    <row r="3" spans="2:25" x14ac:dyDescent="0.2">
      <c r="B3" s="197"/>
      <c r="C3" s="198" t="s">
        <v>304</v>
      </c>
      <c r="D3" s="198" t="s">
        <v>305</v>
      </c>
      <c r="E3" s="198" t="s">
        <v>306</v>
      </c>
      <c r="F3" s="198" t="s">
        <v>307</v>
      </c>
      <c r="G3" s="198" t="s">
        <v>308</v>
      </c>
      <c r="H3" s="198" t="s">
        <v>309</v>
      </c>
    </row>
    <row r="4" spans="2:25" ht="19.5" customHeight="1" x14ac:dyDescent="0.2">
      <c r="B4" s="197"/>
      <c r="C4" s="198">
        <f>H4-5</f>
        <v>2020</v>
      </c>
      <c r="D4" s="198">
        <f>H4-4</f>
        <v>2021</v>
      </c>
      <c r="E4" s="198">
        <f>H4-3</f>
        <v>2022</v>
      </c>
      <c r="F4" s="198">
        <f>H4-2</f>
        <v>2023</v>
      </c>
      <c r="G4" s="198"/>
      <c r="H4" s="199">
        <v>2025</v>
      </c>
      <c r="N4" s="200"/>
      <c r="O4" s="201"/>
      <c r="P4" s="201"/>
      <c r="Q4" s="201"/>
      <c r="R4" s="201"/>
      <c r="S4" s="201"/>
      <c r="T4" s="201"/>
      <c r="U4" s="200"/>
      <c r="V4" s="200"/>
      <c r="W4" s="200"/>
      <c r="X4" s="200"/>
      <c r="Y4" s="200"/>
    </row>
    <row r="5" spans="2:25" x14ac:dyDescent="0.2">
      <c r="B5" s="197" t="s">
        <v>310</v>
      </c>
      <c r="C5" s="198">
        <v>10</v>
      </c>
      <c r="D5" s="198">
        <v>15</v>
      </c>
      <c r="E5" s="198">
        <v>12</v>
      </c>
      <c r="F5" s="198">
        <v>14</v>
      </c>
      <c r="G5" s="198">
        <v>12</v>
      </c>
      <c r="H5" s="199">
        <v>15</v>
      </c>
      <c r="N5" s="200"/>
      <c r="O5" s="200"/>
      <c r="P5" s="201"/>
      <c r="Q5" s="201"/>
      <c r="R5" s="201"/>
      <c r="S5" s="201"/>
      <c r="T5" s="201"/>
      <c r="U5" s="200"/>
      <c r="V5" s="200"/>
      <c r="W5" s="200"/>
      <c r="X5" s="200"/>
      <c r="Y5" s="200"/>
    </row>
    <row r="6" spans="2:25" x14ac:dyDescent="0.2">
      <c r="B6" s="197" t="s">
        <v>311</v>
      </c>
      <c r="C6" s="198">
        <v>3</v>
      </c>
      <c r="D6" s="198">
        <v>5</v>
      </c>
      <c r="E6" s="198">
        <v>2</v>
      </c>
      <c r="F6" s="198">
        <v>4</v>
      </c>
      <c r="G6" s="198">
        <v>6</v>
      </c>
      <c r="H6" s="199">
        <v>3</v>
      </c>
      <c r="N6" s="200"/>
      <c r="O6" s="200"/>
      <c r="P6" s="200"/>
      <c r="Q6" s="200"/>
      <c r="R6" s="200"/>
      <c r="S6" s="200"/>
      <c r="T6" s="200"/>
      <c r="U6" s="200"/>
      <c r="V6" s="200"/>
      <c r="W6" s="200"/>
      <c r="X6" s="200"/>
      <c r="Y6" s="200"/>
    </row>
    <row r="7" spans="2:25" x14ac:dyDescent="0.2">
      <c r="B7" s="200"/>
      <c r="C7" s="200"/>
      <c r="H7" s="201"/>
      <c r="N7" s="200"/>
      <c r="O7" s="200"/>
      <c r="P7" s="200"/>
      <c r="Q7" s="200"/>
      <c r="R7" s="200"/>
      <c r="S7" s="200"/>
      <c r="T7" s="200"/>
      <c r="U7" s="200"/>
      <c r="V7" s="200"/>
      <c r="W7" s="200"/>
      <c r="X7" s="200"/>
      <c r="Y7" s="200"/>
    </row>
    <row r="8" spans="2:25" ht="56.25" customHeight="1" x14ac:dyDescent="0.2">
      <c r="B8" s="200"/>
      <c r="C8" s="202"/>
      <c r="E8" s="203"/>
      <c r="F8" s="203" t="s">
        <v>312</v>
      </c>
      <c r="G8" s="203" t="s">
        <v>313</v>
      </c>
      <c r="H8" s="198" t="s">
        <v>314</v>
      </c>
      <c r="N8" s="200"/>
      <c r="O8" s="200"/>
      <c r="P8" s="200"/>
      <c r="Q8" s="200"/>
      <c r="R8" s="200"/>
      <c r="S8" s="200"/>
      <c r="T8" s="200"/>
      <c r="U8" s="200"/>
      <c r="V8" s="200"/>
      <c r="W8" s="200"/>
      <c r="X8" s="200"/>
      <c r="Y8" s="200"/>
    </row>
    <row r="9" spans="2:25" x14ac:dyDescent="0.2">
      <c r="B9" s="200"/>
      <c r="E9" s="198" t="s">
        <v>315</v>
      </c>
      <c r="F9" s="198">
        <v>2739.13</v>
      </c>
      <c r="G9" s="204">
        <v>365</v>
      </c>
      <c r="H9" s="205">
        <f>F9*G9</f>
        <v>999782.45000000007</v>
      </c>
      <c r="N9" s="200"/>
      <c r="O9" s="200"/>
      <c r="P9" s="200"/>
      <c r="Q9" s="200"/>
      <c r="R9" s="200"/>
      <c r="S9" s="200"/>
      <c r="T9" s="200"/>
      <c r="U9" s="200"/>
      <c r="V9" s="200"/>
      <c r="W9" s="200"/>
      <c r="X9" s="200"/>
      <c r="Y9" s="200"/>
    </row>
    <row r="10" spans="2:25" x14ac:dyDescent="0.2">
      <c r="B10" s="200"/>
      <c r="E10" s="198" t="s">
        <v>316</v>
      </c>
      <c r="F10" s="198">
        <v>2739.13</v>
      </c>
      <c r="G10" s="198">
        <v>365</v>
      </c>
      <c r="H10" s="205">
        <f>F10*G10</f>
        <v>999782.45000000007</v>
      </c>
      <c r="N10" s="200"/>
      <c r="O10" s="200"/>
      <c r="P10" s="200"/>
      <c r="Q10" s="200"/>
      <c r="R10" s="200"/>
      <c r="S10" s="200"/>
      <c r="T10" s="200"/>
      <c r="U10" s="200"/>
      <c r="V10" s="200"/>
      <c r="W10" s="200"/>
      <c r="X10" s="200"/>
      <c r="Y10" s="200"/>
    </row>
    <row r="11" spans="2:25" x14ac:dyDescent="0.2">
      <c r="B11" s="200"/>
      <c r="C11" s="200"/>
      <c r="D11" s="201"/>
      <c r="E11" s="201"/>
      <c r="F11" s="201"/>
      <c r="G11" s="201"/>
      <c r="H11" s="201"/>
      <c r="N11" s="200"/>
      <c r="O11" s="200"/>
      <c r="P11" s="200"/>
      <c r="Q11" s="200"/>
      <c r="R11" s="200"/>
      <c r="S11" s="200"/>
      <c r="T11" s="200"/>
      <c r="U11" s="200"/>
      <c r="V11" s="200"/>
      <c r="W11" s="200"/>
      <c r="X11" s="200"/>
      <c r="Y11" s="200"/>
    </row>
    <row r="12" spans="2:25" x14ac:dyDescent="0.2">
      <c r="N12" s="200"/>
      <c r="O12" s="200"/>
      <c r="P12" s="200"/>
      <c r="Q12" s="200"/>
      <c r="R12" s="200"/>
      <c r="S12" s="200"/>
      <c r="T12" s="200"/>
      <c r="U12" s="200"/>
      <c r="V12" s="200"/>
      <c r="W12" s="200"/>
      <c r="X12" s="200"/>
      <c r="Y12" s="200"/>
    </row>
    <row r="13" spans="2:25" ht="51.75" customHeight="1" x14ac:dyDescent="0.2">
      <c r="I13" s="203" t="s">
        <v>317</v>
      </c>
      <c r="J13" s="203" t="s">
        <v>318</v>
      </c>
      <c r="K13" s="203" t="s">
        <v>314</v>
      </c>
      <c r="L13" s="198" t="s">
        <v>319</v>
      </c>
      <c r="N13" s="200"/>
      <c r="O13" s="200"/>
      <c r="P13" s="200"/>
      <c r="Q13" s="200"/>
      <c r="R13" s="200"/>
      <c r="S13" s="200"/>
      <c r="T13" s="200"/>
      <c r="U13" s="202"/>
      <c r="V13" s="202"/>
      <c r="W13" s="202"/>
      <c r="X13" s="201"/>
      <c r="Y13" s="200"/>
    </row>
    <row r="14" spans="2:25" x14ac:dyDescent="0.2">
      <c r="B14" s="197" t="s">
        <v>320</v>
      </c>
      <c r="C14" s="206" t="s">
        <v>266</v>
      </c>
      <c r="D14" s="207">
        <f t="shared" ref="D14:F15" si="0">(D5-C5)/C5</f>
        <v>0.5</v>
      </c>
      <c r="E14" s="207">
        <f t="shared" si="0"/>
        <v>-0.2</v>
      </c>
      <c r="F14" s="207">
        <f t="shared" si="0"/>
        <v>0.16666666666666666</v>
      </c>
      <c r="G14" s="206" t="s">
        <v>266</v>
      </c>
      <c r="H14" s="206" t="s">
        <v>266</v>
      </c>
      <c r="I14" s="207">
        <f>(D14+E14+F14)/3</f>
        <v>0.15555555555555556</v>
      </c>
      <c r="J14" s="208">
        <f>J15</f>
        <v>-0.05</v>
      </c>
      <c r="K14" s="206" t="s">
        <v>266</v>
      </c>
      <c r="L14" s="206" t="s">
        <v>266</v>
      </c>
      <c r="N14" s="200"/>
      <c r="O14" s="200"/>
      <c r="P14" s="200"/>
      <c r="Q14" s="200"/>
      <c r="R14" s="200"/>
      <c r="S14" s="200"/>
      <c r="T14" s="200"/>
      <c r="U14" s="200"/>
      <c r="V14" s="200"/>
      <c r="W14" s="200"/>
      <c r="X14" s="200"/>
      <c r="Y14" s="200"/>
    </row>
    <row r="15" spans="2:25" x14ac:dyDescent="0.2">
      <c r="B15" s="197" t="s">
        <v>321</v>
      </c>
      <c r="C15" s="206" t="s">
        <v>266</v>
      </c>
      <c r="D15" s="207">
        <f t="shared" si="0"/>
        <v>0.66666666666666663</v>
      </c>
      <c r="E15" s="207">
        <f t="shared" si="0"/>
        <v>-0.6</v>
      </c>
      <c r="F15" s="207">
        <f t="shared" si="0"/>
        <v>1</v>
      </c>
      <c r="G15" s="206" t="s">
        <v>266</v>
      </c>
      <c r="H15" s="206" t="s">
        <v>266</v>
      </c>
      <c r="I15" s="207">
        <f>(D15+E15+F15)/3</f>
        <v>0.35555555555555557</v>
      </c>
      <c r="J15" s="208">
        <f>-0.05</f>
        <v>-0.05</v>
      </c>
      <c r="K15" s="206" t="s">
        <v>266</v>
      </c>
      <c r="L15" s="206" t="s">
        <v>266</v>
      </c>
      <c r="N15" s="200"/>
      <c r="O15" s="200"/>
      <c r="P15" s="200"/>
      <c r="Q15" s="200"/>
      <c r="R15" s="200"/>
      <c r="S15" s="200"/>
      <c r="T15" s="200"/>
      <c r="U15" s="200"/>
      <c r="V15" s="200"/>
      <c r="W15" s="200"/>
      <c r="X15" s="200"/>
      <c r="Y15" s="200"/>
    </row>
    <row r="16" spans="2:25" x14ac:dyDescent="0.2">
      <c r="B16" s="197" t="s">
        <v>322</v>
      </c>
      <c r="C16" s="206" t="s">
        <v>266</v>
      </c>
      <c r="D16" s="206" t="s">
        <v>266</v>
      </c>
      <c r="E16" s="206" t="s">
        <v>266</v>
      </c>
      <c r="F16" s="206" t="s">
        <v>266</v>
      </c>
      <c r="G16" s="206" t="s">
        <v>266</v>
      </c>
      <c r="H16" s="206" t="s">
        <v>266</v>
      </c>
      <c r="I16" s="209">
        <f>F5*(1+I14)*(1+I14)</f>
        <v>18.694320987654319</v>
      </c>
      <c r="J16" s="209">
        <f>F5*(1+J14)*(1+J14)</f>
        <v>12.634999999999998</v>
      </c>
      <c r="K16" s="210">
        <f>H9/1000</f>
        <v>999.78245000000004</v>
      </c>
      <c r="L16" s="211">
        <f>J16+K16</f>
        <v>1012.41745</v>
      </c>
      <c r="N16" s="200"/>
      <c r="O16" s="200"/>
      <c r="P16" s="200"/>
      <c r="Q16" s="200"/>
      <c r="R16" s="200"/>
      <c r="S16" s="200"/>
      <c r="T16" s="200"/>
      <c r="U16" s="200"/>
      <c r="V16" s="200"/>
      <c r="W16" s="200"/>
      <c r="X16" s="200"/>
      <c r="Y16" s="200"/>
    </row>
    <row r="17" spans="2:12" x14ac:dyDescent="0.2">
      <c r="B17" s="197" t="s">
        <v>323</v>
      </c>
      <c r="C17" s="206" t="s">
        <v>266</v>
      </c>
      <c r="D17" s="206" t="s">
        <v>266</v>
      </c>
      <c r="E17" s="206" t="s">
        <v>266</v>
      </c>
      <c r="F17" s="206" t="s">
        <v>266</v>
      </c>
      <c r="G17" s="206" t="s">
        <v>266</v>
      </c>
      <c r="H17" s="206" t="s">
        <v>266</v>
      </c>
      <c r="I17" s="209">
        <f>F6*(1+I15)*(1+I15)</f>
        <v>7.3501234567901239</v>
      </c>
      <c r="J17" s="209">
        <f>F6*(1+J15)*(1+J15)</f>
        <v>3.61</v>
      </c>
      <c r="K17" s="210">
        <f>H10/1000</f>
        <v>999.78245000000004</v>
      </c>
      <c r="L17" s="211">
        <f>J17+K17</f>
        <v>1003.3924500000001</v>
      </c>
    </row>
    <row r="20" spans="2:12" x14ac:dyDescent="0.2">
      <c r="I20" s="212"/>
    </row>
    <row r="21" spans="2:12" x14ac:dyDescent="0.2">
      <c r="I21" s="212"/>
      <c r="K21" s="212"/>
    </row>
  </sheetData>
  <sheetProtection password="FA9C" sheet="1" objects="1" scenarios="1" autoFilter="0"/>
  <mergeCells count="1">
    <mergeCell ref="B1:H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B75E72-7648-4F0B-95C3-218228C42E1F}">
  <dimension ref="B3:Q18"/>
  <sheetViews>
    <sheetView workbookViewId="0">
      <selection activeCell="G13" sqref="G13"/>
    </sheetView>
  </sheetViews>
  <sheetFormatPr defaultRowHeight="15" outlineLevelCol="1" x14ac:dyDescent="0.25"/>
  <cols>
    <col min="2" max="2" width="34.85546875" customWidth="1"/>
    <col min="3" max="3" width="15" customWidth="1"/>
    <col min="4" max="4" width="12.5703125" customWidth="1"/>
    <col min="5" max="5" width="14.85546875" customWidth="1"/>
    <col min="6" max="11" width="14.5703125" bestFit="1" customWidth="1"/>
    <col min="12" max="12" width="15.140625" customWidth="1"/>
    <col min="13" max="16" width="12.85546875" hidden="1" customWidth="1" outlineLevel="1"/>
    <col min="17" max="17" width="17.28515625" customWidth="1" collapsed="1"/>
  </cols>
  <sheetData>
    <row r="3" spans="2:17" x14ac:dyDescent="0.25">
      <c r="B3" s="213" t="s">
        <v>324</v>
      </c>
      <c r="C3" s="214">
        <v>1.071</v>
      </c>
      <c r="D3" s="214">
        <v>1.0369999999999999</v>
      </c>
      <c r="E3" s="214">
        <v>1.0289999999999999</v>
      </c>
      <c r="F3" s="214">
        <v>1.0449999999999999</v>
      </c>
      <c r="G3" s="214">
        <v>1.034</v>
      </c>
      <c r="H3" s="214">
        <v>1.0669999999999999</v>
      </c>
      <c r="I3" s="214">
        <v>1.139</v>
      </c>
      <c r="J3" s="214">
        <v>1.06</v>
      </c>
      <c r="K3" s="214">
        <v>1.0469999999999999</v>
      </c>
      <c r="L3" s="214">
        <v>1.04</v>
      </c>
    </row>
    <row r="4" spans="2:17" x14ac:dyDescent="0.25">
      <c r="B4" s="213"/>
    </row>
    <row r="5" spans="2:17" x14ac:dyDescent="0.25">
      <c r="B5" s="213" t="s">
        <v>325</v>
      </c>
      <c r="C5" s="214">
        <v>1.071</v>
      </c>
      <c r="D5" s="214">
        <v>1.0369999999999999</v>
      </c>
      <c r="E5" s="214">
        <v>1.0289999999999999</v>
      </c>
      <c r="F5" s="214">
        <v>1.0449999999999999</v>
      </c>
      <c r="G5" s="214">
        <v>1.034</v>
      </c>
      <c r="H5" s="214">
        <v>1.0669999999999999</v>
      </c>
      <c r="I5" s="214">
        <v>1.1379999999999999</v>
      </c>
      <c r="J5" s="214">
        <v>1.0580000000000001</v>
      </c>
      <c r="K5" s="214">
        <v>1.0720000000000001</v>
      </c>
      <c r="L5" s="214">
        <v>1.042</v>
      </c>
    </row>
    <row r="7" spans="2:17" x14ac:dyDescent="0.25">
      <c r="B7" s="214" t="s">
        <v>326</v>
      </c>
      <c r="C7" s="214">
        <v>1.071</v>
      </c>
      <c r="D7" s="214">
        <v>1.0369999999999999</v>
      </c>
      <c r="E7" s="214">
        <v>1.0289999999999999</v>
      </c>
      <c r="F7" s="214">
        <v>1.0449999999999999</v>
      </c>
      <c r="G7" s="214">
        <v>1.034</v>
      </c>
      <c r="H7" s="214">
        <v>1.0669999999999999</v>
      </c>
      <c r="I7" s="214">
        <f>I5</f>
        <v>1.1379999999999999</v>
      </c>
      <c r="J7" s="214">
        <f t="shared" ref="J7:L7" si="0">J5</f>
        <v>1.0580000000000001</v>
      </c>
      <c r="K7" s="214">
        <f t="shared" si="0"/>
        <v>1.0720000000000001</v>
      </c>
      <c r="L7" s="214">
        <f t="shared" si="0"/>
        <v>1.042</v>
      </c>
      <c r="M7" s="215">
        <v>1.04</v>
      </c>
      <c r="N7" s="215">
        <f>M7</f>
        <v>1.04</v>
      </c>
      <c r="O7" s="215">
        <f>N7</f>
        <v>1.04</v>
      </c>
      <c r="P7" s="215">
        <f>O7</f>
        <v>1.04</v>
      </c>
    </row>
    <row r="8" spans="2:17" ht="18.75" x14ac:dyDescent="0.3">
      <c r="B8" s="216" t="s">
        <v>327</v>
      </c>
      <c r="C8" s="217" t="s">
        <v>328</v>
      </c>
      <c r="D8" s="217" t="s">
        <v>111</v>
      </c>
      <c r="E8" s="217" t="s">
        <v>112</v>
      </c>
      <c r="F8" s="217" t="s">
        <v>113</v>
      </c>
      <c r="G8" s="217" t="s">
        <v>114</v>
      </c>
      <c r="H8" s="217" t="s">
        <v>115</v>
      </c>
      <c r="I8" s="217" t="s">
        <v>116</v>
      </c>
      <c r="J8" s="217">
        <v>2023</v>
      </c>
      <c r="K8" s="217" t="s">
        <v>329</v>
      </c>
      <c r="L8" s="218" t="s">
        <v>330</v>
      </c>
      <c r="M8" s="219">
        <v>2026</v>
      </c>
      <c r="N8" s="219">
        <v>2027</v>
      </c>
      <c r="O8" s="219">
        <v>2028</v>
      </c>
      <c r="P8" s="219">
        <v>2029</v>
      </c>
      <c r="Q8" s="220" t="s">
        <v>331</v>
      </c>
    </row>
    <row r="9" spans="2:17" ht="15.75" x14ac:dyDescent="0.25">
      <c r="B9" s="221">
        <v>2016</v>
      </c>
      <c r="C9" s="222"/>
      <c r="D9" s="223">
        <f>C9/2*D7*0.99</f>
        <v>0</v>
      </c>
      <c r="E9" s="223">
        <f>D9*E7*0.99</f>
        <v>0</v>
      </c>
      <c r="F9" s="223">
        <f>E9*$F$7*0.99</f>
        <v>0</v>
      </c>
      <c r="G9" s="223">
        <f>F9*$G$7*0.99</f>
        <v>0</v>
      </c>
      <c r="H9" s="223">
        <f>G9*$H$7*0.99</f>
        <v>0</v>
      </c>
      <c r="I9" s="223">
        <f>H9*$I$7*0.99</f>
        <v>0</v>
      </c>
      <c r="J9" s="223">
        <f>I9*$J$7*0.99*2</f>
        <v>0</v>
      </c>
      <c r="K9" s="223">
        <f>J9*$K$7*0.99</f>
        <v>0</v>
      </c>
      <c r="L9" s="224">
        <f>K9*$L$7*0.99</f>
        <v>0</v>
      </c>
      <c r="M9" s="224">
        <f>L9*$M$7*0.99</f>
        <v>0</v>
      </c>
      <c r="N9" s="224">
        <f>M9*$N$7*0.99</f>
        <v>0</v>
      </c>
      <c r="O9" s="224">
        <f>N9*$O$7*0.99</f>
        <v>0</v>
      </c>
      <c r="P9" s="224">
        <f>O9*$P$7*0.99</f>
        <v>0</v>
      </c>
      <c r="Q9" s="225">
        <f>J9</f>
        <v>0</v>
      </c>
    </row>
    <row r="10" spans="2:17" ht="15.75" x14ac:dyDescent="0.25">
      <c r="B10" s="221" t="s">
        <v>332</v>
      </c>
      <c r="C10" s="216"/>
      <c r="D10" s="222"/>
      <c r="E10" s="223">
        <f>D10/2*E7*0.99</f>
        <v>0</v>
      </c>
      <c r="F10" s="223">
        <f>E10*$F$7*0.99</f>
        <v>0</v>
      </c>
      <c r="G10" s="223">
        <f t="shared" ref="G10:G11" si="1">F10*$G$7*0.99</f>
        <v>0</v>
      </c>
      <c r="H10" s="223">
        <f t="shared" ref="H10:H12" si="2">G10*$H$7*0.99</f>
        <v>0</v>
      </c>
      <c r="I10" s="223">
        <f>H10*$I$7*0.99</f>
        <v>0</v>
      </c>
      <c r="J10" s="223">
        <f>I10*$J$7*0.99*2</f>
        <v>0</v>
      </c>
      <c r="K10" s="223">
        <f t="shared" ref="K10:K15" si="3">J10*$K$7*0.99</f>
        <v>0</v>
      </c>
      <c r="L10" s="224">
        <f>K10*$L$7*0.99</f>
        <v>0</v>
      </c>
      <c r="M10" s="224">
        <f>L10*$M$7*0.99</f>
        <v>0</v>
      </c>
      <c r="N10" s="224">
        <f t="shared" ref="N10:N17" si="4">M10*$N$7*0.99</f>
        <v>0</v>
      </c>
      <c r="O10" s="224">
        <f t="shared" ref="O10:O17" si="5">N10*$O$7*0.99</f>
        <v>0</v>
      </c>
      <c r="P10" s="224">
        <f t="shared" ref="P10:P17" si="6">O10*$P$7*0.99</f>
        <v>0</v>
      </c>
      <c r="Q10" s="225">
        <f>J10</f>
        <v>0</v>
      </c>
    </row>
    <row r="11" spans="2:17" ht="15.75" x14ac:dyDescent="0.25">
      <c r="B11" s="221" t="s">
        <v>333</v>
      </c>
      <c r="C11" s="216"/>
      <c r="D11" s="216"/>
      <c r="E11" s="222"/>
      <c r="F11" s="223">
        <f>E11/2*F7*0.99</f>
        <v>0</v>
      </c>
      <c r="G11" s="223">
        <f t="shared" si="1"/>
        <v>0</v>
      </c>
      <c r="H11" s="223">
        <f>G11*$H$7*0.99</f>
        <v>0</v>
      </c>
      <c r="I11" s="223">
        <f t="shared" ref="I11:I13" si="7">H11*$I$7*0.99</f>
        <v>0</v>
      </c>
      <c r="J11" s="223">
        <f t="shared" ref="J11:J14" si="8">I11*$J$7*0.99*2</f>
        <v>0</v>
      </c>
      <c r="K11" s="223">
        <f>J11*$K$7*0.99</f>
        <v>0</v>
      </c>
      <c r="L11" s="224">
        <f>K11*$L$7*0.99</f>
        <v>0</v>
      </c>
      <c r="M11" s="224">
        <f t="shared" ref="M11:M16" si="9">L11*$M$7*0.99</f>
        <v>0</v>
      </c>
      <c r="N11" s="224">
        <f t="shared" si="4"/>
        <v>0</v>
      </c>
      <c r="O11" s="224">
        <f t="shared" si="5"/>
        <v>0</v>
      </c>
      <c r="P11" s="224">
        <f t="shared" si="6"/>
        <v>0</v>
      </c>
      <c r="Q11" s="225">
        <f t="shared" ref="Q11:Q16" si="10">J11</f>
        <v>0</v>
      </c>
    </row>
    <row r="12" spans="2:17" ht="15.75" x14ac:dyDescent="0.25">
      <c r="B12" s="221" t="s">
        <v>334</v>
      </c>
      <c r="C12" s="216"/>
      <c r="D12" s="216"/>
      <c r="E12" s="226"/>
      <c r="F12" s="222"/>
      <c r="G12" s="223">
        <f>F12/2*G7*0.99</f>
        <v>0</v>
      </c>
      <c r="H12" s="223">
        <f t="shared" si="2"/>
        <v>0</v>
      </c>
      <c r="I12" s="223">
        <f t="shared" si="7"/>
        <v>0</v>
      </c>
      <c r="J12" s="223">
        <f t="shared" si="8"/>
        <v>0</v>
      </c>
      <c r="K12" s="223">
        <f t="shared" si="3"/>
        <v>0</v>
      </c>
      <c r="L12" s="224">
        <f t="shared" ref="L12:L13" si="11">K12*$L$7*0.99</f>
        <v>0</v>
      </c>
      <c r="M12" s="224">
        <f t="shared" si="9"/>
        <v>0</v>
      </c>
      <c r="N12" s="224">
        <f t="shared" si="4"/>
        <v>0</v>
      </c>
      <c r="O12" s="224">
        <f t="shared" si="5"/>
        <v>0</v>
      </c>
      <c r="P12" s="224">
        <f t="shared" si="6"/>
        <v>0</v>
      </c>
      <c r="Q12" s="225">
        <f t="shared" si="10"/>
        <v>0</v>
      </c>
    </row>
    <row r="13" spans="2:17" ht="15.75" x14ac:dyDescent="0.25">
      <c r="B13" s="221" t="s">
        <v>335</v>
      </c>
      <c r="C13" s="216"/>
      <c r="D13" s="216"/>
      <c r="E13" s="226"/>
      <c r="F13" s="226"/>
      <c r="G13" s="222"/>
      <c r="H13" s="223">
        <f>G13/2*H7*0.99</f>
        <v>0</v>
      </c>
      <c r="I13" s="223">
        <f t="shared" si="7"/>
        <v>0</v>
      </c>
      <c r="J13" s="223">
        <f t="shared" si="8"/>
        <v>0</v>
      </c>
      <c r="K13" s="223">
        <f t="shared" si="3"/>
        <v>0</v>
      </c>
      <c r="L13" s="224">
        <f t="shared" si="11"/>
        <v>0</v>
      </c>
      <c r="M13" s="224">
        <f t="shared" si="9"/>
        <v>0</v>
      </c>
      <c r="N13" s="224">
        <f t="shared" si="4"/>
        <v>0</v>
      </c>
      <c r="O13" s="224">
        <f t="shared" si="5"/>
        <v>0</v>
      </c>
      <c r="P13" s="224">
        <f t="shared" si="6"/>
        <v>0</v>
      </c>
      <c r="Q13" s="225">
        <f t="shared" si="10"/>
        <v>0</v>
      </c>
    </row>
    <row r="14" spans="2:17" ht="15.75" x14ac:dyDescent="0.25">
      <c r="B14" s="221" t="s">
        <v>336</v>
      </c>
      <c r="C14" s="216"/>
      <c r="D14" s="216"/>
      <c r="E14" s="226"/>
      <c r="F14" s="226"/>
      <c r="G14" s="226"/>
      <c r="H14" s="222"/>
      <c r="I14" s="223">
        <f>H14/2*I7*0.99</f>
        <v>0</v>
      </c>
      <c r="J14" s="223">
        <f t="shared" si="8"/>
        <v>0</v>
      </c>
      <c r="K14" s="223">
        <f t="shared" si="3"/>
        <v>0</v>
      </c>
      <c r="L14" s="224">
        <f>K14*$L$7*0.99</f>
        <v>0</v>
      </c>
      <c r="M14" s="224">
        <f t="shared" si="9"/>
        <v>0</v>
      </c>
      <c r="N14" s="224">
        <f t="shared" si="4"/>
        <v>0</v>
      </c>
      <c r="O14" s="224">
        <f>N14*$O$7*0.99</f>
        <v>0</v>
      </c>
      <c r="P14" s="224">
        <f t="shared" si="6"/>
        <v>0</v>
      </c>
      <c r="Q14" s="225">
        <f t="shared" si="10"/>
        <v>0</v>
      </c>
    </row>
    <row r="15" spans="2:17" ht="15.75" x14ac:dyDescent="0.25">
      <c r="B15" s="221" t="s">
        <v>337</v>
      </c>
      <c r="C15" s="216"/>
      <c r="D15" s="216"/>
      <c r="E15" s="226"/>
      <c r="F15" s="226"/>
      <c r="G15" s="226"/>
      <c r="H15" s="226"/>
      <c r="I15" s="222"/>
      <c r="J15" s="223">
        <f>I15/2*J7*0.99</f>
        <v>0</v>
      </c>
      <c r="K15" s="223">
        <f t="shared" si="3"/>
        <v>0</v>
      </c>
      <c r="L15" s="224">
        <f>K15*$L$7*0.99</f>
        <v>0</v>
      </c>
      <c r="M15" s="224">
        <f t="shared" si="9"/>
        <v>0</v>
      </c>
      <c r="N15" s="224">
        <f t="shared" si="4"/>
        <v>0</v>
      </c>
      <c r="O15" s="224">
        <f t="shared" si="5"/>
        <v>0</v>
      </c>
      <c r="P15" s="224">
        <f t="shared" si="6"/>
        <v>0</v>
      </c>
      <c r="Q15" s="225">
        <f t="shared" si="10"/>
        <v>0</v>
      </c>
    </row>
    <row r="16" spans="2:17" ht="15.75" x14ac:dyDescent="0.25">
      <c r="B16" s="221" t="s">
        <v>338</v>
      </c>
      <c r="C16" s="216"/>
      <c r="D16" s="216"/>
      <c r="E16" s="226"/>
      <c r="F16" s="226"/>
      <c r="G16" s="226"/>
      <c r="H16" s="226"/>
      <c r="I16" s="226"/>
      <c r="J16" s="222"/>
      <c r="K16" s="223">
        <f>J16*$K$7*0.99</f>
        <v>0</v>
      </c>
      <c r="L16" s="224">
        <f>K16*$L$7*0.99</f>
        <v>0</v>
      </c>
      <c r="M16" s="224">
        <f t="shared" si="9"/>
        <v>0</v>
      </c>
      <c r="N16" s="224">
        <f t="shared" si="4"/>
        <v>0</v>
      </c>
      <c r="O16" s="224">
        <f t="shared" si="5"/>
        <v>0</v>
      </c>
      <c r="P16" s="224">
        <f t="shared" si="6"/>
        <v>0</v>
      </c>
      <c r="Q16" s="225">
        <f t="shared" si="10"/>
        <v>0</v>
      </c>
    </row>
    <row r="17" spans="2:17" ht="15.75" x14ac:dyDescent="0.25">
      <c r="B17" s="221" t="s">
        <v>329</v>
      </c>
      <c r="C17" s="216"/>
      <c r="D17" s="216"/>
      <c r="E17" s="226"/>
      <c r="F17" s="226"/>
      <c r="G17" s="226"/>
      <c r="H17" s="226"/>
      <c r="I17" s="226"/>
      <c r="J17" s="226"/>
      <c r="K17" s="222"/>
      <c r="L17" s="224">
        <f>K17*$L$7*0.99</f>
        <v>0</v>
      </c>
      <c r="M17" s="224">
        <f>L17*$M$7*0.99</f>
        <v>0</v>
      </c>
      <c r="N17" s="224">
        <f t="shared" si="4"/>
        <v>0</v>
      </c>
      <c r="O17" s="224">
        <f t="shared" si="5"/>
        <v>0</v>
      </c>
      <c r="P17" s="224">
        <f t="shared" si="6"/>
        <v>0</v>
      </c>
      <c r="Q17" s="225"/>
    </row>
    <row r="18" spans="2:17" x14ac:dyDescent="0.25">
      <c r="B18" s="227"/>
      <c r="C18" s="227"/>
      <c r="D18" s="227"/>
      <c r="E18" s="227"/>
      <c r="F18" s="227"/>
      <c r="G18" s="227"/>
      <c r="H18" s="227"/>
      <c r="I18" s="227"/>
      <c r="J18" s="227"/>
      <c r="K18" s="227"/>
      <c r="L18" s="227"/>
      <c r="Q18" s="22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Калькуляция</vt:lpstr>
      <vt:lpstr>Корректировка тарифа</vt:lpstr>
      <vt:lpstr> кор ПП(к реш</vt:lpstr>
      <vt:lpstr>РАСЧЕТ КиН</vt:lpstr>
      <vt:lpstr>АНАЛИЗ ДПР</vt:lpstr>
      <vt:lpstr>Динамика V</vt:lpstr>
      <vt:lpstr>ОПЕРАЦИОНКА</vt:lpstr>
      <vt:lpstr>'Корректировка тарифа'!Заголовки_для_печати</vt:lpstr>
      <vt:lpstr>' кор ПП(к реш'!Область_печати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2024-10-17T13:36:46Z</cp:lastPrinted>
  <dcterms:created xsi:type="dcterms:W3CDTF">2024-05-16T13:36:27Z</dcterms:created>
  <dcterms:modified xsi:type="dcterms:W3CDTF">2024-10-17T14:18:52Z</dcterms:modified>
</cp:coreProperties>
</file>