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A2D73743-45C8-4451-906C-9D49CBB6401D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ariftype">[2]Титульный!$F$4</definedName>
    <definedName name="tpl_title">'[1]Общие сведения'!$O$17</definedName>
    <definedName name="year">[2]Титульный!$F$9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29" i="1" l="1"/>
  <c r="AD131" i="1" l="1"/>
  <c r="AD139" i="1"/>
  <c r="T139" i="1"/>
  <c r="AM134" i="1"/>
  <c r="AL134" i="1"/>
  <c r="AK134" i="1"/>
  <c r="AJ134" i="1"/>
  <c r="AI134" i="1"/>
  <c r="AH134" i="1"/>
  <c r="AG134" i="1"/>
  <c r="AF134" i="1"/>
  <c r="AE134" i="1"/>
  <c r="AC134" i="1"/>
  <c r="AB134" i="1"/>
  <c r="AA134" i="1"/>
  <c r="Z134" i="1"/>
  <c r="Y134" i="1"/>
  <c r="X134" i="1"/>
  <c r="W134" i="1"/>
  <c r="V134" i="1"/>
  <c r="U134" i="1"/>
  <c r="S134" i="1"/>
  <c r="O134" i="1"/>
  <c r="T131" i="1"/>
  <c r="R128" i="1"/>
  <c r="R127" i="1"/>
  <c r="R123" i="1"/>
  <c r="R122" i="1"/>
  <c r="R121" i="1"/>
  <c r="R120" i="1"/>
  <c r="R119" i="1"/>
  <c r="AW118" i="1"/>
  <c r="AU118" i="1"/>
  <c r="AT118" i="1"/>
  <c r="AS118" i="1"/>
  <c r="AO118" i="1"/>
  <c r="AN118" i="1"/>
  <c r="AM118" i="1"/>
  <c r="AL118" i="1"/>
  <c r="AK118" i="1"/>
  <c r="AV118" i="1" s="1"/>
  <c r="AJ118" i="1"/>
  <c r="AI118" i="1"/>
  <c r="AH118" i="1"/>
  <c r="AG118" i="1"/>
  <c r="AR118" i="1" s="1"/>
  <c r="AF118" i="1"/>
  <c r="AQ118" i="1" s="1"/>
  <c r="AE118" i="1"/>
  <c r="AP118" i="1" s="1"/>
  <c r="R118" i="1"/>
  <c r="Q118" i="1"/>
  <c r="P118" i="1"/>
  <c r="R117" i="1"/>
  <c r="R116" i="1"/>
  <c r="R115" i="1"/>
  <c r="R114" i="1"/>
  <c r="R113" i="1"/>
  <c r="R112" i="1"/>
  <c r="AW110" i="1"/>
  <c r="AV110" i="1"/>
  <c r="AU110" i="1"/>
  <c r="AT110" i="1"/>
  <c r="AS110" i="1"/>
  <c r="AR110" i="1"/>
  <c r="AQ110" i="1"/>
  <c r="AP110" i="1"/>
  <c r="AO110" i="1"/>
  <c r="AN110" i="1"/>
  <c r="AW109" i="1"/>
  <c r="AV109" i="1"/>
  <c r="AU109" i="1"/>
  <c r="AT109" i="1"/>
  <c r="AS109" i="1"/>
  <c r="AR109" i="1"/>
  <c r="AQ109" i="1"/>
  <c r="AP109" i="1"/>
  <c r="AO109" i="1"/>
  <c r="AN109" i="1"/>
  <c r="AW108" i="1"/>
  <c r="AV108" i="1"/>
  <c r="AU108" i="1"/>
  <c r="AT108" i="1"/>
  <c r="AS108" i="1"/>
  <c r="AR108" i="1"/>
  <c r="AQ108" i="1"/>
  <c r="AP108" i="1"/>
  <c r="AO108" i="1"/>
  <c r="AN108" i="1"/>
  <c r="AN107" i="1"/>
  <c r="AN106" i="1"/>
  <c r="AN105" i="1"/>
  <c r="AN104" i="1"/>
  <c r="AW100" i="1"/>
  <c r="AV100" i="1"/>
  <c r="AU100" i="1"/>
  <c r="AT100" i="1"/>
  <c r="AS100" i="1"/>
  <c r="AR100" i="1"/>
  <c r="AQ100" i="1"/>
  <c r="AP100" i="1"/>
  <c r="AO100" i="1"/>
  <c r="AN100" i="1"/>
  <c r="AW99" i="1"/>
  <c r="AV99" i="1"/>
  <c r="AU99" i="1"/>
  <c r="AT99" i="1"/>
  <c r="AS99" i="1"/>
  <c r="AR99" i="1"/>
  <c r="AQ99" i="1"/>
  <c r="AP99" i="1"/>
  <c r="AO99" i="1"/>
  <c r="AN99" i="1"/>
  <c r="AW98" i="1"/>
  <c r="AV98" i="1"/>
  <c r="AU98" i="1"/>
  <c r="AT98" i="1"/>
  <c r="AS98" i="1"/>
  <c r="AR98" i="1"/>
  <c r="AQ98" i="1"/>
  <c r="AP98" i="1"/>
  <c r="AO98" i="1"/>
  <c r="AN98" i="1"/>
  <c r="AT97" i="1"/>
  <c r="AS97" i="1"/>
  <c r="AR97" i="1"/>
  <c r="AQ97" i="1"/>
  <c r="AP97" i="1"/>
  <c r="AN97" i="1"/>
  <c r="AM97" i="1"/>
  <c r="AL97" i="1"/>
  <c r="AW97" i="1" s="1"/>
  <c r="AK97" i="1"/>
  <c r="AV97" i="1" s="1"/>
  <c r="AJ97" i="1"/>
  <c r="AU97" i="1" s="1"/>
  <c r="AI97" i="1"/>
  <c r="AH97" i="1"/>
  <c r="AG97" i="1"/>
  <c r="AF97" i="1"/>
  <c r="AE97" i="1"/>
  <c r="AO97" i="1"/>
  <c r="AW96" i="1"/>
  <c r="AV96" i="1"/>
  <c r="AU96" i="1"/>
  <c r="AT96" i="1"/>
  <c r="AS96" i="1"/>
  <c r="AR96" i="1"/>
  <c r="AQ96" i="1"/>
  <c r="AP96" i="1"/>
  <c r="AO96" i="1"/>
  <c r="AN96" i="1"/>
  <c r="AW95" i="1"/>
  <c r="AV95" i="1"/>
  <c r="AU95" i="1"/>
  <c r="AT95" i="1"/>
  <c r="AS95" i="1"/>
  <c r="AR95" i="1"/>
  <c r="AQ95" i="1"/>
  <c r="AP95" i="1"/>
  <c r="AO95" i="1"/>
  <c r="AN95" i="1"/>
  <c r="AN94" i="1"/>
  <c r="AW93" i="1"/>
  <c r="AV93" i="1"/>
  <c r="AU93" i="1"/>
  <c r="AT93" i="1"/>
  <c r="AS93" i="1"/>
  <c r="AR93" i="1"/>
  <c r="AQ93" i="1"/>
  <c r="AP93" i="1"/>
  <c r="AO93" i="1"/>
  <c r="AN93" i="1"/>
  <c r="AW92" i="1"/>
  <c r="AV92" i="1"/>
  <c r="AU92" i="1"/>
  <c r="AT92" i="1"/>
  <c r="AS92" i="1"/>
  <c r="AR92" i="1"/>
  <c r="AQ92" i="1"/>
  <c r="AP92" i="1"/>
  <c r="AO92" i="1"/>
  <c r="AN92" i="1"/>
  <c r="AW90" i="1"/>
  <c r="AV90" i="1"/>
  <c r="AU90" i="1"/>
  <c r="AT90" i="1"/>
  <c r="AS90" i="1"/>
  <c r="AR90" i="1"/>
  <c r="AQ90" i="1"/>
  <c r="AP90" i="1"/>
  <c r="AO90" i="1"/>
  <c r="AN90" i="1"/>
  <c r="AN87" i="1"/>
  <c r="AW75" i="1"/>
  <c r="AV75" i="1"/>
  <c r="AU75" i="1"/>
  <c r="AT75" i="1"/>
  <c r="AS75" i="1"/>
  <c r="AR75" i="1"/>
  <c r="AQ75" i="1"/>
  <c r="AP75" i="1"/>
  <c r="AO75" i="1"/>
  <c r="AN75" i="1"/>
  <c r="AW74" i="1"/>
  <c r="AV74" i="1"/>
  <c r="AU74" i="1"/>
  <c r="AT74" i="1"/>
  <c r="AS74" i="1"/>
  <c r="AR74" i="1"/>
  <c r="AQ74" i="1"/>
  <c r="AP74" i="1"/>
  <c r="AO74" i="1"/>
  <c r="AN74" i="1"/>
  <c r="AN17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M11" i="1"/>
  <c r="AQ7" i="1"/>
  <c r="AE7" i="1"/>
  <c r="AM2" i="1"/>
  <c r="AL2" i="1"/>
  <c r="AK2" i="1"/>
  <c r="AJ2" i="1"/>
  <c r="AI2" i="1"/>
  <c r="AI3" i="1" s="1"/>
  <c r="AH2" i="1"/>
  <c r="AG2" i="1"/>
  <c r="AF2" i="1"/>
  <c r="AE2" i="1"/>
  <c r="AD2" i="1"/>
  <c r="AC2" i="1"/>
  <c r="AB2" i="1"/>
  <c r="AA2" i="1"/>
  <c r="AA3" i="1" s="1"/>
  <c r="Z2" i="1"/>
  <c r="Y2" i="1"/>
  <c r="X2" i="1"/>
  <c r="W2" i="1"/>
  <c r="V2" i="1"/>
  <c r="U2" i="1"/>
  <c r="T2" i="1"/>
  <c r="S2" i="1"/>
  <c r="S3" i="1" s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P1" i="1"/>
  <c r="AP7" i="1" s="1"/>
  <c r="AO1" i="1"/>
  <c r="AO7" i="1" s="1"/>
  <c r="AN1" i="1"/>
  <c r="AN7" i="1" s="1"/>
  <c r="AM1" i="1"/>
  <c r="AM7" i="1" s="1"/>
  <c r="AL1" i="1"/>
  <c r="AL7" i="1" s="1"/>
  <c r="AK1" i="1"/>
  <c r="AK7" i="1" s="1"/>
  <c r="AJ1" i="1"/>
  <c r="AJ3" i="1" s="1"/>
  <c r="AI1" i="1"/>
  <c r="AI7" i="1" s="1"/>
  <c r="AH1" i="1"/>
  <c r="AH7" i="1" s="1"/>
  <c r="AG1" i="1"/>
  <c r="AG3" i="1" s="1"/>
  <c r="AF1" i="1"/>
  <c r="AF7" i="1" s="1"/>
  <c r="AE1" i="1"/>
  <c r="AE3" i="1" s="1"/>
  <c r="AE18" i="1" s="1"/>
  <c r="AE17" i="1" s="1"/>
  <c r="AD1" i="1"/>
  <c r="AD7" i="1" s="1"/>
  <c r="AC1" i="1"/>
  <c r="AC7" i="1" s="1"/>
  <c r="AB1" i="1"/>
  <c r="AB7" i="1" s="1"/>
  <c r="AA1" i="1"/>
  <c r="AA7" i="1" s="1"/>
  <c r="Z1" i="1"/>
  <c r="Z7" i="1" s="1"/>
  <c r="Y1" i="1"/>
  <c r="Y3" i="1" s="1"/>
  <c r="X1" i="1"/>
  <c r="X3" i="1" s="1"/>
  <c r="W1" i="1"/>
  <c r="W3" i="1" s="1"/>
  <c r="V1" i="1"/>
  <c r="V3" i="1" s="1"/>
  <c r="U1" i="1"/>
  <c r="U7" i="1" s="1"/>
  <c r="T1" i="1"/>
  <c r="T7" i="1" s="1"/>
  <c r="S1" i="1"/>
  <c r="R1" i="1"/>
  <c r="R3" i="1" s="1"/>
  <c r="Q1" i="1"/>
  <c r="Q3" i="1" s="1"/>
  <c r="P1" i="1"/>
  <c r="P3" i="1" s="1"/>
  <c r="O1" i="1"/>
  <c r="O3" i="1" s="1"/>
  <c r="Z3" i="1" l="1"/>
  <c r="AH3" i="1"/>
  <c r="AJ7" i="1"/>
  <c r="B16" i="1"/>
  <c r="C128" i="1" s="1"/>
  <c r="L16" i="1"/>
  <c r="D66" i="1"/>
  <c r="A67" i="1"/>
  <c r="A68" i="1" s="1"/>
  <c r="A69" i="1" s="1"/>
  <c r="AG18" i="1"/>
  <c r="AO17" i="1"/>
  <c r="AJ18" i="1"/>
  <c r="AI18" i="1"/>
  <c r="AH18" i="1"/>
  <c r="W7" i="1"/>
  <c r="AG7" i="1"/>
  <c r="T3" i="1"/>
  <c r="AB3" i="1"/>
  <c r="X7" i="1"/>
  <c r="V7" i="1"/>
  <c r="U3" i="1"/>
  <c r="AC3" i="1"/>
  <c r="AK3" i="1"/>
  <c r="AK18" i="1" s="1"/>
  <c r="Y7" i="1"/>
  <c r="AL3" i="1"/>
  <c r="AL18" i="1" s="1"/>
  <c r="AD3" i="1"/>
  <c r="AM3" i="1"/>
  <c r="AM18" i="1" s="1"/>
  <c r="AF3" i="1"/>
  <c r="AF18" i="1" s="1"/>
  <c r="AF17" i="1" s="1"/>
  <c r="D16" i="1"/>
  <c r="C127" i="1" l="1"/>
  <c r="AG17" i="1"/>
  <c r="AP17" i="1"/>
  <c r="C115" i="1"/>
  <c r="C116" i="1"/>
  <c r="AK69" i="1"/>
  <c r="AI69" i="1"/>
  <c r="A70" i="1"/>
  <c r="AH69" i="1"/>
  <c r="AG69" i="1"/>
  <c r="AE69" i="1"/>
  <c r="AM69" i="1"/>
  <c r="AL69" i="1"/>
  <c r="AJ69" i="1"/>
  <c r="AF69" i="1"/>
  <c r="AT69" i="1" l="1"/>
  <c r="AQ69" i="1"/>
  <c r="AV69" i="1"/>
  <c r="AS69" i="1"/>
  <c r="AH17" i="1"/>
  <c r="AR17" i="1" s="1"/>
  <c r="AR69" i="1"/>
  <c r="AU69" i="1"/>
  <c r="AO69" i="1"/>
  <c r="AG70" i="1"/>
  <c r="AR70" i="1" s="1"/>
  <c r="A71" i="1"/>
  <c r="AM70" i="1"/>
  <c r="AE70" i="1"/>
  <c r="AP70" i="1" s="1"/>
  <c r="AL70" i="1"/>
  <c r="AW70" i="1" s="1"/>
  <c r="AO70" i="1"/>
  <c r="AK70" i="1"/>
  <c r="AV70" i="1" s="1"/>
  <c r="AJ70" i="1"/>
  <c r="AU70" i="1" s="1"/>
  <c r="AI70" i="1"/>
  <c r="AT70" i="1" s="1"/>
  <c r="AN70" i="1"/>
  <c r="AH70" i="1"/>
  <c r="AS70" i="1" s="1"/>
  <c r="AF70" i="1"/>
  <c r="AQ70" i="1" s="1"/>
  <c r="AQ17" i="1"/>
  <c r="AW69" i="1"/>
  <c r="AN69" i="1"/>
  <c r="AP69" i="1"/>
  <c r="AI17" i="1" l="1"/>
  <c r="AS17" i="1" s="1"/>
  <c r="AJ71" i="1"/>
  <c r="AU71" i="1" s="1"/>
  <c r="A72" i="1"/>
  <c r="AH71" i="1"/>
  <c r="AS71" i="1" s="1"/>
  <c r="AL71" i="1"/>
  <c r="AW71" i="1" s="1"/>
  <c r="AI71" i="1"/>
  <c r="AT71" i="1" s="1"/>
  <c r="AG71" i="1"/>
  <c r="AR71" i="1" s="1"/>
  <c r="AF71" i="1"/>
  <c r="AQ71" i="1" s="1"/>
  <c r="AO71" i="1"/>
  <c r="AM71" i="1"/>
  <c r="AK71" i="1"/>
  <c r="AV71" i="1" s="1"/>
  <c r="AE71" i="1"/>
  <c r="AP71" i="1" l="1"/>
  <c r="AN71" i="1"/>
  <c r="AF72" i="1"/>
  <c r="AQ72" i="1" s="1"/>
  <c r="AL72" i="1"/>
  <c r="AO72" i="1"/>
  <c r="AH72" i="1"/>
  <c r="AS72" i="1" s="1"/>
  <c r="AE72" i="1"/>
  <c r="AP72" i="1" s="1"/>
  <c r="AN72" i="1"/>
  <c r="A73" i="1"/>
  <c r="AM72" i="1"/>
  <c r="AJ72" i="1"/>
  <c r="AU72" i="1" s="1"/>
  <c r="AI72" i="1"/>
  <c r="AT72" i="1" s="1"/>
  <c r="AG72" i="1"/>
  <c r="AR72" i="1" s="1"/>
  <c r="AK72" i="1"/>
  <c r="AV72" i="1" s="1"/>
  <c r="AJ17" i="1"/>
  <c r="AT17" i="1" s="1"/>
  <c r="AJ73" i="1" l="1"/>
  <c r="AU73" i="1" s="1"/>
  <c r="A74" i="1"/>
  <c r="A75" i="1" s="1"/>
  <c r="A76" i="1" s="1"/>
  <c r="AH73" i="1"/>
  <c r="AS73" i="1" s="1"/>
  <c r="AO73" i="1"/>
  <c r="AN73" i="1"/>
  <c r="AL73" i="1"/>
  <c r="AW73" i="1" s="1"/>
  <c r="AK73" i="1"/>
  <c r="AV73" i="1" s="1"/>
  <c r="AI73" i="1"/>
  <c r="AT73" i="1" s="1"/>
  <c r="AM73" i="1"/>
  <c r="AG73" i="1"/>
  <c r="AR73" i="1" s="1"/>
  <c r="AF73" i="1"/>
  <c r="AQ73" i="1" s="1"/>
  <c r="AE73" i="1"/>
  <c r="AP73" i="1" s="1"/>
  <c r="AK17" i="1"/>
  <c r="AW72" i="1"/>
  <c r="AL17" i="1" l="1"/>
  <c r="AV17" i="1" s="1"/>
  <c r="AU17" i="1"/>
  <c r="AG76" i="1"/>
  <c r="AR76" i="1" s="1"/>
  <c r="AF76" i="1"/>
  <c r="AL76" i="1"/>
  <c r="AE76" i="1"/>
  <c r="AM76" i="1"/>
  <c r="AK76" i="1"/>
  <c r="AJ76" i="1"/>
  <c r="AI76" i="1"/>
  <c r="AT76" i="1" s="1"/>
  <c r="AH76" i="1"/>
  <c r="A77" i="1"/>
  <c r="AO76" i="1" l="1"/>
  <c r="AW76" i="1"/>
  <c r="AK77" i="1"/>
  <c r="AV77" i="1" s="1"/>
  <c r="AJ77" i="1"/>
  <c r="AU77" i="1" s="1"/>
  <c r="A78" i="1"/>
  <c r="AH77" i="1"/>
  <c r="AS77" i="1" s="1"/>
  <c r="AG77" i="1"/>
  <c r="AR77" i="1" s="1"/>
  <c r="AE77" i="1"/>
  <c r="AP77" i="1" s="1"/>
  <c r="AO77" i="1"/>
  <c r="AF77" i="1"/>
  <c r="AQ77" i="1" s="1"/>
  <c r="AN77" i="1"/>
  <c r="AM77" i="1"/>
  <c r="AL77" i="1"/>
  <c r="AW77" i="1" s="1"/>
  <c r="AI77" i="1"/>
  <c r="AT77" i="1" s="1"/>
  <c r="AS76" i="1"/>
  <c r="AQ76" i="1"/>
  <c r="AM17" i="1"/>
  <c r="AN76" i="1"/>
  <c r="AV76" i="1"/>
  <c r="AU76" i="1"/>
  <c r="AP76" i="1"/>
  <c r="AW17" i="1" l="1"/>
  <c r="AG78" i="1"/>
  <c r="AF78" i="1"/>
  <c r="AL78" i="1"/>
  <c r="AW78" i="1" s="1"/>
  <c r="A79" i="1"/>
  <c r="AJ78" i="1"/>
  <c r="AH78" i="1"/>
  <c r="AE78" i="1"/>
  <c r="AP78" i="1" s="1"/>
  <c r="AN78" i="1"/>
  <c r="AM78" i="1"/>
  <c r="AM68" i="1" s="1"/>
  <c r="AK78" i="1"/>
  <c r="AI78" i="1"/>
  <c r="AK79" i="1" l="1"/>
  <c r="AV79" i="1" s="1"/>
  <c r="AJ79" i="1"/>
  <c r="AU79" i="1" s="1"/>
  <c r="A80" i="1"/>
  <c r="A81" i="1" s="1"/>
  <c r="AH79" i="1"/>
  <c r="AS79" i="1" s="1"/>
  <c r="AM79" i="1"/>
  <c r="AI79" i="1"/>
  <c r="AT79" i="1" s="1"/>
  <c r="AG79" i="1"/>
  <c r="AR79" i="1" s="1"/>
  <c r="AF79" i="1"/>
  <c r="AQ79" i="1" s="1"/>
  <c r="AN79" i="1"/>
  <c r="AE79" i="1"/>
  <c r="AP79" i="1" s="1"/>
  <c r="AO79" i="1"/>
  <c r="AL79" i="1"/>
  <c r="AW79" i="1" s="1"/>
  <c r="AR78" i="1"/>
  <c r="AG68" i="1"/>
  <c r="AO78" i="1"/>
  <c r="AU78" i="1"/>
  <c r="AJ68" i="1"/>
  <c r="AL68" i="1"/>
  <c r="AT78" i="1"/>
  <c r="AI68" i="1"/>
  <c r="AS78" i="1"/>
  <c r="AH68" i="1"/>
  <c r="AE68" i="1"/>
  <c r="AV78" i="1"/>
  <c r="AK68" i="1"/>
  <c r="AQ78" i="1"/>
  <c r="AF68" i="1"/>
  <c r="AN68" i="1" l="1"/>
  <c r="AR68" i="1"/>
  <c r="AJ81" i="1"/>
  <c r="AI81" i="1"/>
  <c r="AG81" i="1"/>
  <c r="AH81" i="1"/>
  <c r="AF81" i="1"/>
  <c r="A82" i="1"/>
  <c r="AM81" i="1"/>
  <c r="AL81" i="1"/>
  <c r="AK81" i="1"/>
  <c r="AE81" i="1"/>
  <c r="AW68" i="1"/>
  <c r="AP68" i="1"/>
  <c r="AS68" i="1"/>
  <c r="AQ68" i="1"/>
  <c r="AT68" i="1"/>
  <c r="AU68" i="1"/>
  <c r="AV68" i="1"/>
  <c r="AO68" i="1"/>
  <c r="AU81" i="1" l="1"/>
  <c r="AP81" i="1"/>
  <c r="AV81" i="1"/>
  <c r="AF82" i="1"/>
  <c r="AQ82" i="1" s="1"/>
  <c r="AM82" i="1"/>
  <c r="AE82" i="1"/>
  <c r="AP82" i="1" s="1"/>
  <c r="AK82" i="1"/>
  <c r="AV82" i="1" s="1"/>
  <c r="A83" i="1"/>
  <c r="AJ82" i="1"/>
  <c r="AU82" i="1" s="1"/>
  <c r="AI82" i="1"/>
  <c r="AT82" i="1" s="1"/>
  <c r="AG82" i="1"/>
  <c r="AR82" i="1" s="1"/>
  <c r="AN82" i="1"/>
  <c r="AH82" i="1"/>
  <c r="AS82" i="1" s="1"/>
  <c r="AO82" i="1"/>
  <c r="AL82" i="1"/>
  <c r="AW82" i="1" s="1"/>
  <c r="AW81" i="1"/>
  <c r="AR81" i="1"/>
  <c r="AO81" i="1"/>
  <c r="AN81" i="1"/>
  <c r="AQ81" i="1"/>
  <c r="AT81" i="1"/>
  <c r="AS81" i="1"/>
  <c r="AJ83" i="1" l="1"/>
  <c r="AU83" i="1" s="1"/>
  <c r="AI83" i="1"/>
  <c r="AG83" i="1"/>
  <c r="AM83" i="1"/>
  <c r="A84" i="1"/>
  <c r="AL83" i="1"/>
  <c r="AW83" i="1" s="1"/>
  <c r="AH83" i="1"/>
  <c r="AS83" i="1" s="1"/>
  <c r="AF83" i="1"/>
  <c r="AE83" i="1"/>
  <c r="AP83" i="1" s="1"/>
  <c r="AK83" i="1"/>
  <c r="AR83" i="1" l="1"/>
  <c r="AN83" i="1"/>
  <c r="AV83" i="1"/>
  <c r="AO83" i="1"/>
  <c r="AF84" i="1"/>
  <c r="AQ84" i="1" s="1"/>
  <c r="AM84" i="1"/>
  <c r="AE84" i="1"/>
  <c r="AP84" i="1" s="1"/>
  <c r="AK84" i="1"/>
  <c r="AV84" i="1" s="1"/>
  <c r="A85" i="1"/>
  <c r="AJ84" i="1"/>
  <c r="AU84" i="1" s="1"/>
  <c r="AL84" i="1"/>
  <c r="AW84" i="1" s="1"/>
  <c r="AI84" i="1"/>
  <c r="AT84" i="1" s="1"/>
  <c r="AH84" i="1"/>
  <c r="AG84" i="1"/>
  <c r="AR84" i="1" s="1"/>
  <c r="AO84" i="1"/>
  <c r="AT83" i="1"/>
  <c r="AQ83" i="1"/>
  <c r="AN84" i="1" l="1"/>
  <c r="AJ85" i="1"/>
  <c r="AU85" i="1" s="1"/>
  <c r="AI85" i="1"/>
  <c r="AN85" i="1"/>
  <c r="AG85" i="1"/>
  <c r="AR85" i="1" s="1"/>
  <c r="AE85" i="1"/>
  <c r="AP85" i="1" s="1"/>
  <c r="AO85" i="1"/>
  <c r="AM85" i="1"/>
  <c r="AL85" i="1"/>
  <c r="AW85" i="1" s="1"/>
  <c r="AK85" i="1"/>
  <c r="AV85" i="1" s="1"/>
  <c r="AH85" i="1"/>
  <c r="AS85" i="1" s="1"/>
  <c r="AF85" i="1"/>
  <c r="A86" i="1"/>
  <c r="AS84" i="1"/>
  <c r="AT85" i="1" l="1"/>
  <c r="AF86" i="1"/>
  <c r="AQ86" i="1" s="1"/>
  <c r="AM86" i="1"/>
  <c r="AE86" i="1"/>
  <c r="AP86" i="1" s="1"/>
  <c r="AK86" i="1"/>
  <c r="AH86" i="1"/>
  <c r="AG86" i="1"/>
  <c r="AI86" i="1"/>
  <c r="AT86" i="1" s="1"/>
  <c r="A87" i="1"/>
  <c r="AL86" i="1"/>
  <c r="AW86" i="1" s="1"/>
  <c r="AJ86" i="1"/>
  <c r="AQ85" i="1"/>
  <c r="AO86" i="1" l="1"/>
  <c r="AS86" i="1"/>
  <c r="AL87" i="1"/>
  <c r="AW87" i="1" s="1"/>
  <c r="AO87" i="1"/>
  <c r="AK87" i="1"/>
  <c r="AV87" i="1" s="1"/>
  <c r="AI87" i="1"/>
  <c r="AT87" i="1" s="1"/>
  <c r="A88" i="1"/>
  <c r="AM87" i="1"/>
  <c r="AJ87" i="1"/>
  <c r="AU87" i="1" s="1"/>
  <c r="AG87" i="1"/>
  <c r="AR87" i="1" s="1"/>
  <c r="AH87" i="1"/>
  <c r="AS87" i="1" s="1"/>
  <c r="AF87" i="1"/>
  <c r="AE87" i="1"/>
  <c r="AP87" i="1" s="1"/>
  <c r="AV86" i="1"/>
  <c r="AU86" i="1"/>
  <c r="AN86" i="1"/>
  <c r="AR86" i="1"/>
  <c r="A89" i="1" l="1"/>
  <c r="AH88" i="1"/>
  <c r="AS88" i="1" s="1"/>
  <c r="AG88" i="1"/>
  <c r="AR88" i="1" s="1"/>
  <c r="AM88" i="1"/>
  <c r="AE88" i="1"/>
  <c r="AP88" i="1" s="1"/>
  <c r="AL88" i="1"/>
  <c r="AW88" i="1" s="1"/>
  <c r="AJ88" i="1"/>
  <c r="AU88" i="1" s="1"/>
  <c r="AK88" i="1"/>
  <c r="AV88" i="1" s="1"/>
  <c r="AI88" i="1"/>
  <c r="AF88" i="1"/>
  <c r="AQ88" i="1" s="1"/>
  <c r="AO88" i="1"/>
  <c r="AQ87" i="1"/>
  <c r="AT88" i="1" l="1"/>
  <c r="AN88" i="1"/>
  <c r="AL89" i="1"/>
  <c r="AK89" i="1"/>
  <c r="AI89" i="1"/>
  <c r="AT89" i="1" s="1"/>
  <c r="AN89" i="1"/>
  <c r="AE89" i="1"/>
  <c r="A90" i="1"/>
  <c r="A91" i="1" s="1"/>
  <c r="AM89" i="1"/>
  <c r="AM80" i="1" s="1"/>
  <c r="AF89" i="1"/>
  <c r="AJ89" i="1"/>
  <c r="AH89" i="1"/>
  <c r="AG89" i="1"/>
  <c r="AP89" i="1" l="1"/>
  <c r="AE80" i="1"/>
  <c r="AO89" i="1"/>
  <c r="AQ89" i="1"/>
  <c r="AF80" i="1"/>
  <c r="AW89" i="1"/>
  <c r="AL80" i="1"/>
  <c r="AS89" i="1"/>
  <c r="AH80" i="1"/>
  <c r="AR89" i="1"/>
  <c r="AG80" i="1"/>
  <c r="AU89" i="1"/>
  <c r="AJ80" i="1"/>
  <c r="AL91" i="1"/>
  <c r="AW91" i="1" s="1"/>
  <c r="AO91" i="1"/>
  <c r="AK91" i="1"/>
  <c r="AV91" i="1" s="1"/>
  <c r="AI91" i="1"/>
  <c r="AT91" i="1" s="1"/>
  <c r="AN91" i="1"/>
  <c r="A92" i="1"/>
  <c r="A93" i="1" s="1"/>
  <c r="A94" i="1" s="1"/>
  <c r="AM91" i="1"/>
  <c r="AJ91" i="1"/>
  <c r="AU91" i="1" s="1"/>
  <c r="AG91" i="1"/>
  <c r="AR91" i="1" s="1"/>
  <c r="AH91" i="1"/>
  <c r="AS91" i="1" s="1"/>
  <c r="AF91" i="1"/>
  <c r="AQ91" i="1" s="1"/>
  <c r="AE91" i="1"/>
  <c r="AP91" i="1" s="1"/>
  <c r="AI80" i="1"/>
  <c r="AV89" i="1"/>
  <c r="AK80" i="1"/>
  <c r="AQ80" i="1" l="1"/>
  <c r="AT80" i="1"/>
  <c r="AV80" i="1"/>
  <c r="AL94" i="1"/>
  <c r="AW94" i="1" s="1"/>
  <c r="AO94" i="1"/>
  <c r="AK94" i="1"/>
  <c r="AV94" i="1" s="1"/>
  <c r="AI94" i="1"/>
  <c r="AT94" i="1" s="1"/>
  <c r="AF94" i="1"/>
  <c r="AQ94" i="1" s="1"/>
  <c r="AE94" i="1"/>
  <c r="AP94" i="1" s="1"/>
  <c r="A95" i="1"/>
  <c r="A96" i="1" s="1"/>
  <c r="A97" i="1" s="1"/>
  <c r="A98" i="1" s="1"/>
  <c r="A99" i="1" s="1"/>
  <c r="A100" i="1" s="1"/>
  <c r="A101" i="1" s="1"/>
  <c r="AH94" i="1"/>
  <c r="AS94" i="1" s="1"/>
  <c r="AG94" i="1"/>
  <c r="AR94" i="1" s="1"/>
  <c r="AM94" i="1"/>
  <c r="AM67" i="1" s="1"/>
  <c r="AJ94" i="1"/>
  <c r="AU94" i="1" s="1"/>
  <c r="AN80" i="1"/>
  <c r="AO80" i="1"/>
  <c r="AU80" i="1"/>
  <c r="AS80" i="1"/>
  <c r="AP80" i="1"/>
  <c r="AE67" i="1"/>
  <c r="AR80" i="1"/>
  <c r="AW80" i="1"/>
  <c r="AK67" i="1" l="1"/>
  <c r="AV67" i="1" s="1"/>
  <c r="AJ67" i="1"/>
  <c r="AH67" i="1"/>
  <c r="AS67" i="1" s="1"/>
  <c r="AL67" i="1"/>
  <c r="AN67" i="1"/>
  <c r="AI67" i="1"/>
  <c r="A102" i="1"/>
  <c r="AN101" i="1"/>
  <c r="AU67" i="1"/>
  <c r="AP67" i="1"/>
  <c r="AW67" i="1"/>
  <c r="AG67" i="1"/>
  <c r="AO67" i="1"/>
  <c r="AF67" i="1"/>
  <c r="AT67" i="1" l="1"/>
  <c r="AQ67" i="1"/>
  <c r="AR67" i="1"/>
  <c r="AK102" i="1"/>
  <c r="AV102" i="1" s="1"/>
  <c r="AJ102" i="1"/>
  <c r="AI102" i="1"/>
  <c r="AT102" i="1" s="1"/>
  <c r="AG102" i="1"/>
  <c r="AR102" i="1" s="1"/>
  <c r="A103" i="1"/>
  <c r="AH102" i="1"/>
  <c r="AS102" i="1" s="1"/>
  <c r="AF102" i="1"/>
  <c r="AQ102" i="1" s="1"/>
  <c r="AM102" i="1"/>
  <c r="AE102" i="1"/>
  <c r="AL102" i="1"/>
  <c r="O125" i="1"/>
  <c r="AP102" i="1" l="1"/>
  <c r="AU102" i="1"/>
  <c r="AO102" i="1"/>
  <c r="AN102" i="1"/>
  <c r="AW102" i="1"/>
  <c r="S125" i="1"/>
  <c r="O124" i="1"/>
  <c r="O126" i="1"/>
  <c r="AG103" i="1"/>
  <c r="AR103" i="1" s="1"/>
  <c r="AF103" i="1"/>
  <c r="AQ103" i="1" s="1"/>
  <c r="AM103" i="1"/>
  <c r="AE103" i="1"/>
  <c r="AP103" i="1" s="1"/>
  <c r="AK103" i="1"/>
  <c r="AV103" i="1" s="1"/>
  <c r="AO103" i="1"/>
  <c r="AH103" i="1"/>
  <c r="AS103" i="1" s="1"/>
  <c r="A104" i="1"/>
  <c r="A105" i="1" s="1"/>
  <c r="AL103" i="1"/>
  <c r="AW103" i="1" s="1"/>
  <c r="AJ103" i="1"/>
  <c r="AU103" i="1" s="1"/>
  <c r="AI103" i="1"/>
  <c r="AT103" i="1" s="1"/>
  <c r="AN103" i="1"/>
  <c r="S126" i="1" l="1"/>
  <c r="S124" i="1"/>
  <c r="AI105" i="1"/>
  <c r="A106" i="1"/>
  <c r="AH105" i="1"/>
  <c r="AG105" i="1"/>
  <c r="AM105" i="1"/>
  <c r="AE105" i="1"/>
  <c r="AL105" i="1"/>
  <c r="AK105" i="1"/>
  <c r="AF105" i="1"/>
  <c r="AJ105" i="1"/>
  <c r="AW105" i="1" l="1"/>
  <c r="AS105" i="1"/>
  <c r="AP105" i="1"/>
  <c r="AG106" i="1"/>
  <c r="AR106" i="1" s="1"/>
  <c r="AF106" i="1"/>
  <c r="AQ106" i="1" s="1"/>
  <c r="AM106" i="1"/>
  <c r="AE106" i="1"/>
  <c r="AP106" i="1" s="1"/>
  <c r="AK106" i="1"/>
  <c r="AV106" i="1" s="1"/>
  <c r="AJ106" i="1"/>
  <c r="AU106" i="1" s="1"/>
  <c r="A107" i="1"/>
  <c r="AI106" i="1"/>
  <c r="AT106" i="1" s="1"/>
  <c r="AO106" i="1"/>
  <c r="AL106" i="1"/>
  <c r="AW106" i="1" s="1"/>
  <c r="AH106" i="1"/>
  <c r="AS106" i="1" s="1"/>
  <c r="AO105" i="1"/>
  <c r="AQ105" i="1"/>
  <c r="AT105" i="1"/>
  <c r="AV105" i="1"/>
  <c r="AR105" i="1"/>
  <c r="AU105" i="1"/>
  <c r="AM107" i="1" l="1"/>
  <c r="AM104" i="1" s="1"/>
  <c r="AE107" i="1"/>
  <c r="AP107" i="1" s="1"/>
  <c r="W125" i="1"/>
  <c r="AL107" i="1"/>
  <c r="AW107" i="1" s="1"/>
  <c r="V125" i="1"/>
  <c r="AK107" i="1"/>
  <c r="AC125" i="1"/>
  <c r="U125" i="1"/>
  <c r="AI107" i="1"/>
  <c r="AA125" i="1"/>
  <c r="AG107" i="1"/>
  <c r="P125" i="1"/>
  <c r="AF107" i="1"/>
  <c r="Z125" i="1"/>
  <c r="AJ107" i="1"/>
  <c r="AH107" i="1"/>
  <c r="AS107" i="1" s="1"/>
  <c r="Y125" i="1"/>
  <c r="A108" i="1"/>
  <c r="A109" i="1" s="1"/>
  <c r="A110" i="1" s="1"/>
  <c r="AB125" i="1"/>
  <c r="X125" i="1"/>
  <c r="T125" i="1"/>
  <c r="AL104" i="1" l="1"/>
  <c r="AC124" i="1"/>
  <c r="AC126" i="1"/>
  <c r="AB124" i="1"/>
  <c r="AB126" i="1"/>
  <c r="T124" i="1"/>
  <c r="W124" i="1"/>
  <c r="W126" i="1"/>
  <c r="V124" i="1"/>
  <c r="V126" i="1"/>
  <c r="Y126" i="1"/>
  <c r="Y124" i="1"/>
  <c r="Z126" i="1"/>
  <c r="Z124" i="1"/>
  <c r="AA126" i="1"/>
  <c r="AA124" i="1"/>
  <c r="U124" i="1"/>
  <c r="U126" i="1"/>
  <c r="A111" i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T126" i="1"/>
  <c r="AR107" i="1"/>
  <c r="AG104" i="1"/>
  <c r="AT107" i="1"/>
  <c r="AI104" i="1"/>
  <c r="AW104" i="1"/>
  <c r="AU107" i="1"/>
  <c r="AJ104" i="1"/>
  <c r="AE104" i="1"/>
  <c r="AV107" i="1"/>
  <c r="AK104" i="1"/>
  <c r="AH104" i="1"/>
  <c r="X124" i="1"/>
  <c r="X126" i="1"/>
  <c r="AQ107" i="1"/>
  <c r="AF104" i="1"/>
  <c r="P124" i="1"/>
  <c r="P126" i="1"/>
  <c r="AO107" i="1"/>
  <c r="AT104" i="1" l="1"/>
  <c r="AP104" i="1"/>
  <c r="Q125" i="1"/>
  <c r="AU104" i="1"/>
  <c r="AR104" i="1"/>
  <c r="AQ104" i="1"/>
  <c r="A130" i="1"/>
  <c r="A131" i="1" s="1"/>
  <c r="A132" i="1" s="1"/>
  <c r="A133" i="1" s="1"/>
  <c r="A134" i="1" s="1"/>
  <c r="A135" i="1" s="1"/>
  <c r="A136" i="1" s="1"/>
  <c r="A137" i="1" s="1"/>
  <c r="AF129" i="1"/>
  <c r="X129" i="1"/>
  <c r="P129" i="1"/>
  <c r="AM129" i="1"/>
  <c r="AE129" i="1"/>
  <c r="W129" i="1"/>
  <c r="O129" i="1"/>
  <c r="AL129" i="1"/>
  <c r="V129" i="1"/>
  <c r="AK129" i="1"/>
  <c r="AC129" i="1"/>
  <c r="U129" i="1"/>
  <c r="AJ129" i="1"/>
  <c r="AB129" i="1"/>
  <c r="T129" i="1"/>
  <c r="AH129" i="1"/>
  <c r="Z129" i="1"/>
  <c r="AG129" i="1"/>
  <c r="AA129" i="1"/>
  <c r="S129" i="1"/>
  <c r="Y129" i="1"/>
  <c r="Q129" i="1"/>
  <c r="AI129" i="1"/>
  <c r="AS104" i="1"/>
  <c r="AO104" i="1"/>
  <c r="AD125" i="1"/>
  <c r="P131" i="1"/>
  <c r="AV104" i="1"/>
  <c r="AG136" i="1" l="1"/>
  <c r="AR136" i="1" s="1"/>
  <c r="AG135" i="1"/>
  <c r="AG130" i="1"/>
  <c r="AG132" i="1" s="1"/>
  <c r="AG133" i="1" s="1"/>
  <c r="AK136" i="1"/>
  <c r="AV136" i="1" s="1"/>
  <c r="AK135" i="1"/>
  <c r="AK130" i="1"/>
  <c r="AK132" i="1" s="1"/>
  <c r="AK133" i="1" s="1"/>
  <c r="P135" i="1"/>
  <c r="P130" i="1"/>
  <c r="P132" i="1" s="1"/>
  <c r="P133" i="1" s="1"/>
  <c r="P134" i="1" s="1"/>
  <c r="Z136" i="1"/>
  <c r="Z132" i="1"/>
  <c r="Z133" i="1" s="1"/>
  <c r="Z130" i="1"/>
  <c r="Z135" i="1"/>
  <c r="V135" i="1"/>
  <c r="V130" i="1"/>
  <c r="V132" i="1" s="1"/>
  <c r="V133" i="1" s="1"/>
  <c r="V136" i="1"/>
  <c r="X130" i="1"/>
  <c r="X132" i="1" s="1"/>
  <c r="X133" i="1" s="1"/>
  <c r="X135" i="1"/>
  <c r="X136" i="1"/>
  <c r="AH136" i="1"/>
  <c r="AS136" i="1" s="1"/>
  <c r="AH130" i="1"/>
  <c r="AH132" i="1" s="1"/>
  <c r="AH133" i="1" s="1"/>
  <c r="AH135" i="1"/>
  <c r="AD130" i="1"/>
  <c r="AD132" i="1" s="1"/>
  <c r="AF130" i="1"/>
  <c r="AF132" i="1" s="1"/>
  <c r="AF133" i="1" s="1"/>
  <c r="AF136" i="1"/>
  <c r="AQ136" i="1" s="1"/>
  <c r="AF135" i="1"/>
  <c r="Q126" i="1"/>
  <c r="Q131" i="1" s="1"/>
  <c r="R125" i="1"/>
  <c r="R126" i="1" s="1"/>
  <c r="Q124" i="1"/>
  <c r="R124" i="1" s="1"/>
  <c r="AI136" i="1"/>
  <c r="AT136" i="1" s="1"/>
  <c r="AI135" i="1"/>
  <c r="AI130" i="1"/>
  <c r="AI132" i="1" s="1"/>
  <c r="AI133" i="1" s="1"/>
  <c r="T135" i="1"/>
  <c r="T132" i="1"/>
  <c r="T133" i="1" s="1"/>
  <c r="T134" i="1" s="1"/>
  <c r="T130" i="1"/>
  <c r="AL135" i="1"/>
  <c r="AL130" i="1"/>
  <c r="AL132" i="1" s="1"/>
  <c r="AL133" i="1" s="1"/>
  <c r="AL136" i="1"/>
  <c r="AW136" i="1" s="1"/>
  <c r="AG137" i="1"/>
  <c r="Y137" i="1"/>
  <c r="Q137" i="1"/>
  <c r="A138" i="1"/>
  <c r="A139" i="1" s="1"/>
  <c r="A140" i="1" s="1"/>
  <c r="A141" i="1" s="1"/>
  <c r="AF137" i="1"/>
  <c r="X137" i="1"/>
  <c r="P137" i="1"/>
  <c r="AM137" i="1"/>
  <c r="AE137" i="1"/>
  <c r="W137" i="1"/>
  <c r="O137" i="1"/>
  <c r="O140" i="1" s="1"/>
  <c r="AL137" i="1"/>
  <c r="AD137" i="1"/>
  <c r="V137" i="1"/>
  <c r="AK137" i="1"/>
  <c r="AC137" i="1"/>
  <c r="U137" i="1"/>
  <c r="AI137" i="1"/>
  <c r="AA137" i="1"/>
  <c r="S137" i="1"/>
  <c r="S140" i="1" s="1"/>
  <c r="AB137" i="1"/>
  <c r="Z137" i="1"/>
  <c r="AH137" i="1"/>
  <c r="T137" i="1"/>
  <c r="T136" i="1" s="1"/>
  <c r="AJ137" i="1"/>
  <c r="AD124" i="1"/>
  <c r="AD126" i="1"/>
  <c r="AN125" i="1"/>
  <c r="Q136" i="1"/>
  <c r="Q130" i="1"/>
  <c r="R130" i="1" s="1"/>
  <c r="R129" i="1"/>
  <c r="Q132" i="1"/>
  <c r="AB136" i="1"/>
  <c r="AB135" i="1"/>
  <c r="AB130" i="1"/>
  <c r="AB132" i="1" s="1"/>
  <c r="AB133" i="1" s="1"/>
  <c r="O132" i="1"/>
  <c r="O136" i="1"/>
  <c r="Y136" i="1"/>
  <c r="Y135" i="1"/>
  <c r="Y130" i="1"/>
  <c r="Y132" i="1"/>
  <c r="Y133" i="1" s="1"/>
  <c r="AJ136" i="1"/>
  <c r="AU136" i="1" s="1"/>
  <c r="AJ135" i="1"/>
  <c r="AJ130" i="1"/>
  <c r="AJ132" i="1" s="1"/>
  <c r="AJ133" i="1" s="1"/>
  <c r="W135" i="1"/>
  <c r="W130" i="1"/>
  <c r="W132" i="1" s="1"/>
  <c r="W133" i="1" s="1"/>
  <c r="W136" i="1"/>
  <c r="S132" i="1"/>
  <c r="U136" i="1"/>
  <c r="U135" i="1"/>
  <c r="U130" i="1"/>
  <c r="U132" i="1" s="1"/>
  <c r="U133" i="1" s="1"/>
  <c r="AE135" i="1"/>
  <c r="AE130" i="1"/>
  <c r="AE132" i="1" s="1"/>
  <c r="AE133" i="1" s="1"/>
  <c r="AE136" i="1"/>
  <c r="AP136" i="1" s="1"/>
  <c r="AA136" i="1"/>
  <c r="AA135" i="1"/>
  <c r="AA130" i="1"/>
  <c r="AA132" i="1" s="1"/>
  <c r="AA133" i="1" s="1"/>
  <c r="AC136" i="1"/>
  <c r="AC135" i="1"/>
  <c r="AC130" i="1"/>
  <c r="AC132" i="1" s="1"/>
  <c r="AC133" i="1" s="1"/>
  <c r="AM135" i="1"/>
  <c r="AM130" i="1"/>
  <c r="AM132" i="1" s="1"/>
  <c r="AM133" i="1" s="1"/>
  <c r="AM136" i="1"/>
  <c r="S136" i="1" l="1"/>
  <c r="Q135" i="1"/>
  <c r="R135" i="1" s="1"/>
  <c r="AN126" i="1"/>
  <c r="AA141" i="1"/>
  <c r="AA139" i="1"/>
  <c r="AA138" i="1"/>
  <c r="AA140" i="1" s="1"/>
  <c r="R137" i="1"/>
  <c r="Q138" i="1"/>
  <c r="Q140" i="1" s="1"/>
  <c r="Q139" i="1"/>
  <c r="AI141" i="1"/>
  <c r="AI139" i="1"/>
  <c r="AI138" i="1"/>
  <c r="AI140" i="1" s="1"/>
  <c r="W141" i="1"/>
  <c r="W139" i="1"/>
  <c r="W138" i="1"/>
  <c r="W140" i="1" s="1"/>
  <c r="Y139" i="1"/>
  <c r="Y138" i="1"/>
  <c r="Y141" i="1"/>
  <c r="Y140" i="1"/>
  <c r="AD133" i="1"/>
  <c r="AJ141" i="1"/>
  <c r="AJ138" i="1"/>
  <c r="AJ140" i="1" s="1"/>
  <c r="AJ139" i="1"/>
  <c r="U141" i="1"/>
  <c r="U139" i="1"/>
  <c r="U138" i="1"/>
  <c r="U140" i="1" s="1"/>
  <c r="AE141" i="1"/>
  <c r="AE139" i="1"/>
  <c r="AE138" i="1"/>
  <c r="AE140" i="1" s="1"/>
  <c r="AG139" i="1"/>
  <c r="AG138" i="1"/>
  <c r="AG141" i="1"/>
  <c r="AG140" i="1"/>
  <c r="R131" i="1"/>
  <c r="AD135" i="1"/>
  <c r="T141" i="1"/>
  <c r="T138" i="1"/>
  <c r="T140" i="1" s="1"/>
  <c r="AC141" i="1"/>
  <c r="AC139" i="1"/>
  <c r="AC138" i="1"/>
  <c r="AC140" i="1" s="1"/>
  <c r="AM141" i="1"/>
  <c r="AM139" i="1"/>
  <c r="AM138" i="1"/>
  <c r="AM140" i="1" s="1"/>
  <c r="Q133" i="1"/>
  <c r="R133" i="1" s="1"/>
  <c r="R132" i="1"/>
  <c r="AH138" i="1"/>
  <c r="AH140" i="1"/>
  <c r="AH139" i="1"/>
  <c r="AH141" i="1"/>
  <c r="AK141" i="1"/>
  <c r="AK139" i="1"/>
  <c r="AK138" i="1"/>
  <c r="AK140" i="1" s="1"/>
  <c r="P139" i="1"/>
  <c r="P138" i="1"/>
  <c r="P140" i="1" s="1"/>
  <c r="P141" i="1"/>
  <c r="P136" i="1"/>
  <c r="Z138" i="1"/>
  <c r="Z140" i="1" s="1"/>
  <c r="Z141" i="1"/>
  <c r="Z139" i="1"/>
  <c r="V141" i="1"/>
  <c r="V139" i="1"/>
  <c r="V138" i="1"/>
  <c r="V140" i="1" s="1"/>
  <c r="X139" i="1"/>
  <c r="X138" i="1"/>
  <c r="X140" i="1" s="1"/>
  <c r="X141" i="1"/>
  <c r="AB141" i="1"/>
  <c r="AB139" i="1"/>
  <c r="AB138" i="1"/>
  <c r="AB140" i="1" s="1"/>
  <c r="AD138" i="1"/>
  <c r="AD140" i="1" s="1"/>
  <c r="AF139" i="1"/>
  <c r="AF138" i="1"/>
  <c r="AF140" i="1" s="1"/>
  <c r="AF141" i="1"/>
  <c r="AL141" i="1"/>
  <c r="AL139" i="1"/>
  <c r="AL138" i="1"/>
  <c r="AL140" i="1" s="1"/>
  <c r="AD136" i="1"/>
  <c r="AO136" i="1" s="1"/>
  <c r="AD134" i="1" l="1"/>
  <c r="AD141" i="1"/>
  <c r="R140" i="1"/>
  <c r="AN136" i="1"/>
  <c r="Q134" i="1"/>
  <c r="Q141" i="1"/>
  <c r="R141" i="1" s="1"/>
  <c r="R139" i="1"/>
  <c r="R138" i="1"/>
  <c r="R136" i="1" l="1"/>
  <c r="AG101" i="1" l="1"/>
  <c r="AF101" i="1"/>
  <c r="AI101" i="1"/>
  <c r="AM101" i="1"/>
  <c r="AM125" i="1" s="1"/>
  <c r="AE101" i="1"/>
  <c r="AH101" i="1"/>
  <c r="AK101" i="1"/>
  <c r="AL101" i="1"/>
  <c r="AJ101" i="1"/>
  <c r="AV101" i="1" l="1"/>
  <c r="AK125" i="1"/>
  <c r="AS101" i="1"/>
  <c r="AH125" i="1"/>
  <c r="AP101" i="1"/>
  <c r="AO101" i="1"/>
  <c r="AE125" i="1"/>
  <c r="AM124" i="1"/>
  <c r="AM126" i="1"/>
  <c r="AT101" i="1"/>
  <c r="AI125" i="1"/>
  <c r="AQ101" i="1"/>
  <c r="AF125" i="1"/>
  <c r="AU101" i="1"/>
  <c r="AJ125" i="1"/>
  <c r="AR101" i="1"/>
  <c r="AG125" i="1"/>
  <c r="AW101" i="1"/>
  <c r="AL125" i="1"/>
  <c r="AE124" i="1" l="1"/>
  <c r="AE126" i="1"/>
  <c r="AO125" i="1"/>
  <c r="AP125" i="1"/>
  <c r="AS125" i="1"/>
  <c r="AH124" i="1"/>
  <c r="AH126" i="1"/>
  <c r="AS126" i="1" s="1"/>
  <c r="AF126" i="1"/>
  <c r="AQ126" i="1" s="1"/>
  <c r="AQ125" i="1"/>
  <c r="AF124" i="1"/>
  <c r="AT125" i="1"/>
  <c r="AI124" i="1"/>
  <c r="AI126" i="1"/>
  <c r="AT126" i="1" s="1"/>
  <c r="AK124" i="1"/>
  <c r="AV125" i="1"/>
  <c r="AK126" i="1"/>
  <c r="AV126" i="1" s="1"/>
  <c r="AJ124" i="1"/>
  <c r="AJ126" i="1"/>
  <c r="AU125" i="1"/>
  <c r="AW125" i="1"/>
  <c r="AL124" i="1"/>
  <c r="AL126" i="1"/>
  <c r="AW126" i="1" s="1"/>
  <c r="AG124" i="1"/>
  <c r="AR125" i="1"/>
  <c r="AG126" i="1"/>
  <c r="AU126" i="1" l="1"/>
  <c r="AP126" i="1"/>
  <c r="AO126" i="1"/>
  <c r="AR126" i="1"/>
</calcChain>
</file>

<file path=xl/sharedStrings.xml><?xml version="1.0" encoding="utf-8"?>
<sst xmlns="http://schemas.openxmlformats.org/spreadsheetml/2006/main" count="601" uniqueCount="447">
  <si>
    <t>№ п/п</t>
  </si>
  <si>
    <t>Факт по данным организации</t>
  </si>
  <si>
    <t>1.1</t>
  </si>
  <si>
    <t>тыс.куб.м</t>
  </si>
  <si>
    <t>1.2</t>
  </si>
  <si>
    <t>1.3</t>
  </si>
  <si>
    <t>1.4</t>
  </si>
  <si>
    <t>1.5</t>
  </si>
  <si>
    <t>%</t>
  </si>
  <si>
    <t>1.6</t>
  </si>
  <si>
    <t>Операционные расходы</t>
  </si>
  <si>
    <t>1.3.1</t>
  </si>
  <si>
    <t>1.3.2</t>
  </si>
  <si>
    <t>1.7</t>
  </si>
  <si>
    <t>Административные расходы</t>
  </si>
  <si>
    <t>2</t>
  </si>
  <si>
    <t>тыс.руб.</t>
  </si>
  <si>
    <t>3</t>
  </si>
  <si>
    <t>Неподконтрольные расходы</t>
  </si>
  <si>
    <t>Расходы на оплату товаров (услуг, работ), приобретаемых у других организаций</t>
  </si>
  <si>
    <t>услуги по горячему водоснабжению</t>
  </si>
  <si>
    <t>услуги по приготовлению воды на нужды горячего водоснабжения</t>
  </si>
  <si>
    <t>услуги по транспортировке горячей воды</t>
  </si>
  <si>
    <t>услуги по водоотведению</t>
  </si>
  <si>
    <t>услуги по транспортировке сточных вод</t>
  </si>
  <si>
    <t>Плата за негативное воздействие на окружающую среду</t>
  </si>
  <si>
    <t>Земельный налог</t>
  </si>
  <si>
    <t>Транспортный налог</t>
  </si>
  <si>
    <t>Прочие налоги и сборы</t>
  </si>
  <si>
    <t>Сбытовые расходы гарантирующей организации</t>
  </si>
  <si>
    <t>Экономия расходов</t>
  </si>
  <si>
    <t>Расходы на обслуживание бесхозяйных сетей</t>
  </si>
  <si>
    <t>Расходы на компенсацию экономически обоснованных расходов</t>
  </si>
  <si>
    <t>Займы и кредиты (для метода индексации)</t>
  </si>
  <si>
    <t>4.1</t>
  </si>
  <si>
    <t>Нормативная прибыль</t>
  </si>
  <si>
    <t>5.1</t>
  </si>
  <si>
    <t>5.2</t>
  </si>
  <si>
    <t>6</t>
  </si>
  <si>
    <t>Расчетная предпринимательская прибыль гарантирующей организации</t>
  </si>
  <si>
    <t>7</t>
  </si>
  <si>
    <t>7.1</t>
  </si>
  <si>
    <t>7.2</t>
  </si>
  <si>
    <t>7.3</t>
  </si>
  <si>
    <t>7.4</t>
  </si>
  <si>
    <t>7.5</t>
  </si>
  <si>
    <t>7.6</t>
  </si>
  <si>
    <t>7.7</t>
  </si>
  <si>
    <t>8</t>
  </si>
  <si>
    <t>9</t>
  </si>
  <si>
    <t>18. Расчет тарифа методом индексации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</si>
  <si>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</si>
  <si>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</si>
  <si>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</si>
  <si>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</si>
  <si>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</si>
  <si>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</si>
  <si>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</si>
  <si>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</si>
  <si>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</si>
  <si>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</si>
  <si>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</si>
  <si>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</si>
  <si>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L1_1</t>
  </si>
  <si>
    <t>коэффициент индекса операционных расходов</t>
  </si>
  <si>
    <t>L1_2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</si>
  <si>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</si>
  <si>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</si>
  <si>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</si>
  <si>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</si>
  <si>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</si>
  <si>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</si>
  <si>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</si>
  <si>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</si>
  <si>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</si>
  <si>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</si>
  <si>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https://data-platform.ru/lk/files/Files/HiDzdd/e1dff30d-63b4-4920-8274-04243a14d570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</si>
  <si>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</si>
  <si>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</si>
  <si>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</si>
  <si>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</si>
  <si>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</si>
  <si>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</si>
  <si>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</si>
  <si>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</si>
  <si>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</si>
  <si>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</si>
  <si>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https://data-platform.ru/lk/files/Files/HiDzdd/a8635402-445c-40a3-972b-42c0df8986b7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</si>
  <si>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</si>
  <si>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</si>
  <si>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</si>
  <si>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</si>
  <si>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</si>
  <si>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</si>
  <si>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</si>
  <si>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</si>
  <si>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</si>
  <si>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</si>
  <si>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</si>
  <si>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</si>
  <si>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</si>
  <si>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</si>
  <si>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</si>
  <si>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</si>
  <si>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</si>
  <si>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</si>
  <si>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</si>
  <si>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</si>
  <si>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</si>
  <si>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</si>
  <si>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</si>
  <si>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</si>
  <si>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</si>
  <si>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</si>
  <si>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</si>
  <si>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</si>
  <si>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</si>
  <si>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</si>
  <si>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</si>
  <si>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</si>
  <si>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Ремонтные расходы:</t>
  </si>
  <si>
    <t>L1_3_1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</si>
  <si>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</si>
  <si>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</si>
  <si>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</si>
  <si>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</si>
  <si>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</si>
  <si>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</si>
  <si>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</si>
  <si>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</si>
  <si>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</si>
  <si>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</si>
  <si>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</si>
  <si>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</si>
  <si>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</si>
  <si>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</si>
  <si>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</si>
  <si>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https://data-platform.ru/lk/files/Files/HiDzdd/1c675d62-b8c8-43ab-9d01-c5fedacef590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</si>
  <si>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</si>
  <si>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</si>
  <si>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</si>
  <si>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</si>
  <si>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</si>
  <si>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</si>
  <si>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</si>
  <si>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</si>
  <si>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</si>
  <si>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</si>
  <si>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</si>
  <si>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</si>
  <si>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</si>
  <si>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</si>
  <si>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</si>
  <si>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</si>
  <si>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</si>
  <si>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</si>
  <si>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</si>
  <si>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</si>
  <si>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</si>
  <si>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</si>
  <si>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</si>
  <si>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</si>
  <si>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</si>
  <si>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</si>
  <si>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</si>
  <si>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</si>
  <si>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</si>
  <si>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</si>
  <si>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</si>
  <si>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</si>
  <si>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</si>
  <si>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</si>
  <si>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</si>
  <si>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</si>
  <si>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</si>
  <si>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</si>
  <si>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</si>
  <si>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</si>
  <si>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</si>
  <si>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</si>
  <si>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</si>
  <si>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</si>
  <si>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</si>
  <si>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</si>
  <si>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</si>
  <si>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</si>
  <si>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</si>
  <si>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</si>
  <si>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</si>
  <si>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</si>
  <si>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</si>
  <si>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</si>
  <si>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</si>
  <si>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</si>
  <si>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</si>
  <si>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</si>
  <si>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</si>
  <si>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</si>
  <si>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</si>
  <si>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</si>
  <si>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</si>
  <si>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</si>
  <si>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</si>
  <si>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</si>
  <si>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</si>
  <si>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</si>
  <si>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</si>
  <si>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</si>
  <si>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</si>
  <si>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</si>
  <si>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</si>
  <si>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</si>
  <si>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</si>
  <si>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</si>
  <si>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Сбытовые расходы гарантирующих организаций (за исключением указанных в п.2.5)</t>
  </si>
  <si>
    <t>L1_6</t>
  </si>
  <si>
    <t>Реагенты до 2020 года</t>
  </si>
  <si>
    <t>L1_7</t>
  </si>
  <si>
    <t>Операционные расходы по концессионным соглашениям</t>
  </si>
  <si>
    <t>1.7.0</t>
  </si>
  <si>
    <t>Добавить</t>
  </si>
  <si>
    <t>L2</t>
  </si>
  <si>
    <t>L2_1</t>
  </si>
  <si>
    <t>2.1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</si>
  <si>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</si>
  <si>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</si>
  <si>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</si>
  <si>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</si>
  <si>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</si>
  <si>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</si>
  <si>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</si>
  <si>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</si>
  <si>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</si>
  <si>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</si>
  <si>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</si>
  <si>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</si>
  <si>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</si>
  <si>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</si>
  <si>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</si>
  <si>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</si>
  <si>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</si>
  <si>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</si>
  <si>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</si>
  <si>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L2_1_6</t>
  </si>
  <si>
    <t>2.1.6</t>
  </si>
  <si>
    <t>L2_1_7</t>
  </si>
  <si>
    <t>2.1.7</t>
  </si>
  <si>
    <t>Затраты на водоотведение</t>
  </si>
  <si>
    <t>L2_1_8</t>
  </si>
  <si>
    <t>2.1.8</t>
  </si>
  <si>
    <t>Затраты на транспортировку сточных вод</t>
  </si>
  <si>
    <t>L2_1_9</t>
  </si>
  <si>
    <t>2.1.9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</si>
  <si>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</si>
  <si>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</si>
  <si>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</si>
  <si>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</si>
  <si>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</si>
  <si>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</si>
  <si>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</si>
  <si>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</si>
  <si>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</si>
  <si>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</si>
  <si>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</si>
  <si>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</si>
  <si>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</si>
  <si>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</si>
  <si>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</si>
  <si>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</si>
  <si>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</si>
  <si>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</si>
  <si>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</si>
  <si>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</si>
  <si>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</si>
  <si>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</si>
  <si>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</si>
  <si>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</si>
  <si>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</si>
  <si>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</si>
  <si>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</si>
  <si>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</si>
  <si>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</si>
  <si>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L2_3_6</t>
  </si>
  <si>
    <t>2.3.6</t>
  </si>
  <si>
    <t>транспортный налог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</si>
  <si>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</si>
  <si>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</si>
  <si>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</si>
  <si>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</si>
  <si>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</si>
  <si>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</si>
  <si>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</si>
  <si>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</si>
  <si>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</si>
  <si>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</si>
  <si>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</si>
  <si>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</si>
  <si>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</si>
  <si>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</si>
  <si>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</si>
  <si>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</si>
  <si>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</si>
  <si>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</si>
  <si>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</si>
  <si>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резерв по сомнительным долгам гарантирующей организации</t>
  </si>
  <si>
    <t>L2_6_1</t>
  </si>
  <si>
    <t>2.6.1</t>
  </si>
  <si>
    <t>L2_7</t>
  </si>
  <si>
    <t>2.7</t>
  </si>
  <si>
    <t>L2_8</t>
  </si>
  <si>
    <t>2.8</t>
  </si>
  <si>
    <t>L2_9</t>
  </si>
  <si>
    <t>2.9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</si>
  <si>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</si>
  <si>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</si>
  <si>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</si>
  <si>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</si>
  <si>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</si>
  <si>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</si>
  <si>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</si>
  <si>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</si>
  <si>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</si>
  <si>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</si>
  <si>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</si>
  <si>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</si>
  <si>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</si>
  <si>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</si>
  <si>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Расходы на электрическую энергию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</si>
  <si>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</si>
  <si>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</si>
  <si>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</si>
  <si>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</si>
  <si>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</si>
  <si>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в том числе инвестиционная (справочно)</t>
  </si>
  <si>
    <t>L5</t>
  </si>
  <si>
    <t>5</t>
  </si>
  <si>
    <t>L5_1</t>
  </si>
  <si>
    <t>средства на возврат инвестиционных займов</t>
  </si>
  <si>
    <t>L5_2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</si>
  <si>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</si>
  <si>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</si>
  <si>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</si>
  <si>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</si>
  <si>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</si>
  <si>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</si>
  <si>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</si>
  <si>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</si>
  <si>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L6</t>
  </si>
  <si>
    <t>L11</t>
  </si>
  <si>
    <t>L7_0</t>
  </si>
  <si>
    <t>Корректировка НВВ всего</t>
  </si>
  <si>
    <t>Справочно в том числе:</t>
  </si>
  <si>
    <t>L7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</si>
  <si>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</si>
  <si>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</si>
  <si>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</si>
  <si>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</si>
  <si>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</si>
  <si>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</si>
  <si>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</si>
  <si>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</si>
  <si>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</si>
  <si>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</si>
  <si>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Недополученные доходы / Выпадающие расходы</t>
  </si>
  <si>
    <t>L15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</si>
  <si>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</si>
  <si>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</si>
  <si>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</si>
  <si>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</si>
  <si>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</si>
  <si>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</si>
  <si>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</si>
  <si>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</si>
  <si>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</si>
  <si>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</si>
  <si>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</si>
  <si>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</si>
  <si>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</si>
  <si>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</si>
  <si>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</si>
  <si>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</si>
  <si>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Величина сглаживания НВВ</t>
  </si>
  <si>
    <t>L10_1</t>
  </si>
  <si>
    <t>8.1</t>
  </si>
  <si>
    <t>% сглаживания НВВ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</si>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</sst>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7EAD3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 wrapText="1"/>
    </xf>
    <xf numFmtId="0" fontId="6" fillId="0" borderId="0" xfId="5" applyFont="1" applyAlignment="1">
      <alignment vertical="center"/>
    </xf>
    <xf numFmtId="0" fontId="6" fillId="0" borderId="0" xfId="6" applyFont="1"/>
    <xf numFmtId="0" fontId="7" fillId="0" borderId="0" xfId="4" applyFont="1" applyAlignment="1">
      <alignment horizontal="left" vertical="center"/>
    </xf>
    <xf numFmtId="0" fontId="8" fillId="0" borderId="0" xfId="7" applyFont="1" applyAlignment="1">
      <alignment vertical="center"/>
    </xf>
    <xf numFmtId="49" fontId="9" fillId="0" borderId="1" xfId="4" quotePrefix="1" applyNumberFormat="1" applyFont="1" applyBorder="1" applyAlignment="1">
      <alignment horizontal="left" vertical="center" indent="1"/>
    </xf>
    <xf numFmtId="49" fontId="10" fillId="0" borderId="1" xfId="4" applyNumberFormat="1" applyFont="1" applyBorder="1" applyAlignment="1">
      <alignment vertical="center"/>
    </xf>
    <xf numFmtId="49" fontId="10" fillId="0" borderId="0" xfId="4" applyNumberFormat="1" applyFont="1" applyAlignment="1">
      <alignment horizontal="left" vertical="center" wrapText="1" indent="4"/>
    </xf>
    <xf numFmtId="0" fontId="5" fillId="0" borderId="2" xfId="4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49" fontId="6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11" fillId="4" borderId="5" xfId="0" applyNumberFormat="1" applyFont="1" applyFill="1" applyBorder="1" applyAlignment="1">
      <alignment horizontal="left" vertical="center"/>
    </xf>
    <xf numFmtId="0" fontId="11" fillId="4" borderId="0" xfId="0" applyNumberFormat="1" applyFont="1" applyFill="1" applyBorder="1" applyAlignment="1">
      <alignment horizontal="left" vertical="center"/>
    </xf>
    <xf numFmtId="0" fontId="6" fillId="0" borderId="0" xfId="5" applyFont="1" applyAlignment="1">
      <alignment horizontal="left" vertical="center"/>
    </xf>
    <xf numFmtId="0" fontId="10" fillId="0" borderId="0" xfId="4" applyFont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49" fontId="12" fillId="0" borderId="2" xfId="4" applyNumberFormat="1" applyFont="1" applyBorder="1" applyAlignment="1">
      <alignment horizontal="center" vertical="center" wrapText="1"/>
    </xf>
    <xf numFmtId="0" fontId="12" fillId="0" borderId="2" xfId="4" applyFont="1" applyBorder="1" applyAlignment="1">
      <alignment vertical="center" wrapText="1"/>
    </xf>
    <xf numFmtId="0" fontId="12" fillId="0" borderId="2" xfId="4" applyFont="1" applyBorder="1" applyAlignment="1">
      <alignment horizontal="center" vertical="center" wrapText="1"/>
    </xf>
    <xf numFmtId="4" fontId="9" fillId="5" borderId="2" xfId="4" applyNumberFormat="1" applyFont="1" applyFill="1" applyBorder="1" applyAlignment="1" applyProtection="1">
      <alignment horizontal="right" vertical="center"/>
      <protection locked="0"/>
    </xf>
    <xf numFmtId="4" fontId="9" fillId="6" borderId="2" xfId="4" applyNumberFormat="1" applyFont="1" applyFill="1" applyBorder="1" applyAlignment="1">
      <alignment horizontal="right" vertical="center"/>
    </xf>
    <xf numFmtId="49" fontId="6" fillId="5" borderId="3" xfId="5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4" applyFont="1" applyAlignment="1">
      <alignment horizontal="center" vertical="center" wrapText="1"/>
    </xf>
    <xf numFmtId="0" fontId="5" fillId="0" borderId="0" xfId="4" applyFont="1" applyAlignment="1">
      <alignment horizontal="left" vertical="center"/>
    </xf>
    <xf numFmtId="49" fontId="6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left" vertical="center" wrapText="1" indent="1"/>
    </xf>
    <xf numFmtId="0" fontId="6" fillId="0" borderId="2" xfId="4" applyFont="1" applyBorder="1" applyAlignment="1">
      <alignment horizontal="center" vertical="center"/>
    </xf>
    <xf numFmtId="164" fontId="6" fillId="5" borderId="2" xfId="4" applyNumberFormat="1" applyFont="1" applyFill="1" applyBorder="1" applyAlignment="1" applyProtection="1">
      <alignment horizontal="right" vertical="center"/>
      <protection locked="0"/>
    </xf>
    <xf numFmtId="164" fontId="6" fillId="6" borderId="2" xfId="4" applyNumberFormat="1" applyFont="1" applyFill="1" applyBorder="1" applyAlignment="1">
      <alignment horizontal="right" vertical="center"/>
    </xf>
    <xf numFmtId="4" fontId="6" fillId="0" borderId="2" xfId="4" applyNumberFormat="1" applyFont="1" applyBorder="1" applyAlignment="1">
      <alignment horizontal="right" vertical="center"/>
    </xf>
    <xf numFmtId="0" fontId="12" fillId="0" borderId="2" xfId="4" applyFont="1" applyBorder="1" applyAlignment="1">
      <alignment horizontal="left" vertical="center" wrapText="1" indent="1"/>
    </xf>
    <xf numFmtId="4" fontId="9" fillId="0" borderId="2" xfId="4" applyNumberFormat="1" applyFont="1" applyFill="1" applyBorder="1" applyAlignment="1" applyProtection="1">
      <alignment horizontal="right" vertical="center"/>
    </xf>
    <xf numFmtId="4" fontId="9" fillId="0" borderId="2" xfId="4" applyNumberFormat="1" applyFont="1" applyBorder="1" applyAlignment="1">
      <alignment horizontal="right" vertical="center"/>
    </xf>
    <xf numFmtId="49" fontId="9" fillId="5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4" applyFont="1" applyBorder="1" applyAlignment="1">
      <alignment horizontal="left" vertical="center" wrapText="1" indent="2"/>
    </xf>
    <xf numFmtId="0" fontId="6" fillId="0" borderId="2" xfId="4" applyFont="1" applyBorder="1" applyAlignment="1">
      <alignment horizontal="center" vertical="center" wrapText="1"/>
    </xf>
    <xf numFmtId="4" fontId="6" fillId="0" borderId="2" xfId="4" applyNumberFormat="1" applyFont="1" applyFill="1" applyBorder="1" applyAlignment="1" applyProtection="1">
      <alignment horizontal="right" vertical="center"/>
    </xf>
    <xf numFmtId="4" fontId="6" fillId="6" borderId="2" xfId="4" applyNumberFormat="1" applyFont="1" applyFill="1" applyBorder="1" applyAlignment="1">
      <alignment horizontal="right" vertical="center"/>
    </xf>
    <xf numFmtId="0" fontId="13" fillId="0" borderId="0" xfId="4" applyFont="1" applyAlignment="1">
      <alignment vertical="center"/>
    </xf>
    <xf numFmtId="0" fontId="0" fillId="0" borderId="2" xfId="4" applyFont="1" applyBorder="1" applyAlignment="1">
      <alignment horizontal="left" vertical="center" wrapText="1" indent="3"/>
    </xf>
    <xf numFmtId="0" fontId="0" fillId="0" borderId="2" xfId="4" applyFont="1" applyBorder="1" applyAlignment="1">
      <alignment horizontal="center" vertical="center" wrapText="1"/>
    </xf>
    <xf numFmtId="4" fontId="6" fillId="5" borderId="2" xfId="4" applyNumberFormat="1" applyFont="1" applyFill="1" applyBorder="1" applyAlignment="1" applyProtection="1">
      <alignment horizontal="right" vertical="center"/>
      <protection locked="0"/>
    </xf>
    <xf numFmtId="0" fontId="6" fillId="0" borderId="2" xfId="4" applyFont="1" applyBorder="1" applyAlignment="1">
      <alignment horizontal="left" vertical="center" wrapText="1" indent="3"/>
    </xf>
    <xf numFmtId="4" fontId="6" fillId="7" borderId="2" xfId="4" applyNumberFormat="1" applyFont="1" applyFill="1" applyBorder="1" applyAlignment="1">
      <alignment horizontal="right" vertical="center"/>
    </xf>
    <xf numFmtId="0" fontId="6" fillId="0" borderId="0" xfId="8" applyFont="1" applyAlignment="1">
      <alignment horizontal="left" vertical="center"/>
    </xf>
    <xf numFmtId="0" fontId="0" fillId="0" borderId="2" xfId="4" applyFont="1" applyBorder="1" applyAlignment="1">
      <alignment horizontal="left" vertical="center" wrapText="1" indent="2"/>
    </xf>
    <xf numFmtId="0" fontId="6" fillId="2" borderId="2" xfId="4" applyFont="1" applyFill="1" applyBorder="1" applyAlignment="1">
      <alignment horizontal="left" vertical="center" wrapText="1" indent="3"/>
    </xf>
    <xf numFmtId="0" fontId="10" fillId="0" borderId="0" xfId="4" applyFont="1" applyAlignment="1">
      <alignment vertical="center"/>
    </xf>
    <xf numFmtId="49" fontId="9" fillId="0" borderId="2" xfId="4" applyNumberFormat="1" applyFont="1" applyBorder="1" applyAlignment="1">
      <alignment horizontal="center" vertical="center"/>
    </xf>
    <xf numFmtId="0" fontId="9" fillId="0" borderId="2" xfId="4" applyFont="1" applyBorder="1" applyAlignment="1">
      <alignment horizontal="left" vertical="center" wrapText="1" indent="1"/>
    </xf>
    <xf numFmtId="0" fontId="9" fillId="0" borderId="2" xfId="4" applyFont="1" applyBorder="1" applyAlignment="1">
      <alignment horizontal="center" vertical="center"/>
    </xf>
    <xf numFmtId="4" fontId="9" fillId="7" borderId="2" xfId="4" applyNumberFormat="1" applyFont="1" applyFill="1" applyBorder="1" applyAlignment="1">
      <alignment horizontal="right" vertical="center"/>
    </xf>
    <xf numFmtId="0" fontId="1" fillId="0" borderId="0" xfId="9"/>
    <xf numFmtId="0" fontId="6" fillId="2" borderId="2" xfId="4" applyFont="1" applyFill="1" applyBorder="1" applyAlignment="1">
      <alignment horizontal="center" vertical="center"/>
    </xf>
    <xf numFmtId="49" fontId="6" fillId="0" borderId="3" xfId="5" applyNumberFormat="1" applyFont="1" applyBorder="1" applyAlignment="1">
      <alignment horizontal="left" vertical="center" wrapText="1"/>
    </xf>
    <xf numFmtId="0" fontId="2" fillId="0" borderId="0" xfId="4" applyFont="1" applyAlignment="1">
      <alignment vertical="center"/>
    </xf>
    <xf numFmtId="0" fontId="14" fillId="8" borderId="6" xfId="0" applyFont="1" applyFill="1" applyBorder="1" applyAlignment="1">
      <alignment horizontal="left" vertical="center" wrapText="1" indent="1"/>
    </xf>
    <xf numFmtId="0" fontId="14" fillId="8" borderId="7" xfId="0" applyFont="1" applyFill="1" applyBorder="1" applyAlignment="1">
      <alignment horizontal="left" vertical="center" wrapText="1" indent="2"/>
    </xf>
    <xf numFmtId="0" fontId="14" fillId="8" borderId="7" xfId="0" applyFont="1" applyFill="1" applyBorder="1" applyAlignment="1">
      <alignment horizontal="left" vertical="center" wrapText="1" indent="1"/>
    </xf>
    <xf numFmtId="0" fontId="14" fillId="8" borderId="8" xfId="0" applyFont="1" applyFill="1" applyBorder="1" applyAlignment="1">
      <alignment horizontal="left" vertical="center" wrapText="1" inden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left" vertical="center" wrapText="1" indent="2"/>
    </xf>
    <xf numFmtId="0" fontId="6" fillId="2" borderId="2" xfId="4" applyFont="1" applyFill="1" applyBorder="1" applyAlignment="1">
      <alignment horizontal="left" vertical="center" wrapText="1" indent="1"/>
    </xf>
    <xf numFmtId="4" fontId="0" fillId="5" borderId="2" xfId="4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4" applyFont="1" applyBorder="1" applyAlignment="1">
      <alignment horizontal="left" vertical="center" wrapText="1" indent="1"/>
    </xf>
    <xf numFmtId="0" fontId="9" fillId="0" borderId="2" xfId="4" applyFont="1" applyBorder="1" applyAlignment="1">
      <alignment vertical="center" wrapText="1"/>
    </xf>
    <xf numFmtId="0" fontId="6" fillId="0" borderId="2" xfId="4" applyFont="1" applyBorder="1" applyAlignment="1">
      <alignment horizontal="left" vertical="center" wrapText="1"/>
    </xf>
    <xf numFmtId="0" fontId="5" fillId="9" borderId="0" xfId="4" applyFont="1" applyFill="1" applyAlignment="1">
      <alignment vertical="center"/>
    </xf>
    <xf numFmtId="0" fontId="9" fillId="0" borderId="2" xfId="4" applyFont="1" applyBorder="1" applyAlignment="1">
      <alignment horizontal="left" vertical="center" wrapText="1"/>
    </xf>
    <xf numFmtId="0" fontId="0" fillId="0" borderId="2" xfId="4" applyFont="1" applyBorder="1" applyAlignment="1">
      <alignment horizontal="left" vertical="center" wrapText="1" indent="1"/>
    </xf>
    <xf numFmtId="0" fontId="0" fillId="2" borderId="2" xfId="4" applyFont="1" applyFill="1" applyBorder="1" applyAlignment="1">
      <alignment horizontal="left" vertical="center" wrapText="1" indent="2"/>
    </xf>
    <xf numFmtId="49" fontId="6" fillId="2" borderId="2" xfId="4" applyNumberFormat="1" applyFont="1" applyFill="1" applyBorder="1" applyAlignment="1">
      <alignment horizontal="center" vertical="center"/>
    </xf>
    <xf numFmtId="4" fontId="9" fillId="7" borderId="2" xfId="9" applyNumberFormat="1" applyFont="1" applyFill="1" applyBorder="1" applyAlignment="1">
      <alignment horizontal="right" vertical="center"/>
    </xf>
    <xf numFmtId="0" fontId="1" fillId="0" borderId="0" xfId="9" applyFont="1"/>
    <xf numFmtId="164" fontId="9" fillId="7" borderId="2" xfId="4" applyNumberFormat="1" applyFont="1" applyFill="1" applyBorder="1" applyAlignment="1">
      <alignment horizontal="right" vertical="center"/>
    </xf>
    <xf numFmtId="164" fontId="6" fillId="5" borderId="2" xfId="9" applyNumberFormat="1" applyFont="1" applyFill="1" applyBorder="1" applyAlignment="1" applyProtection="1">
      <alignment horizontal="right" vertical="center"/>
      <protection locked="0"/>
    </xf>
    <xf numFmtId="4" fontId="6" fillId="5" borderId="2" xfId="9" applyNumberFormat="1" applyFont="1" applyFill="1" applyBorder="1" applyAlignment="1" applyProtection="1">
      <alignment horizontal="right" vertical="center"/>
      <protection locked="0"/>
    </xf>
    <xf numFmtId="164" fontId="6" fillId="6" borderId="2" xfId="9" applyNumberFormat="1" applyFont="1" applyFill="1" applyBorder="1" applyAlignment="1">
      <alignment horizontal="right" vertical="center"/>
    </xf>
    <xf numFmtId="4" fontId="6" fillId="6" borderId="2" xfId="9" applyNumberFormat="1" applyFont="1" applyFill="1" applyBorder="1" applyAlignment="1">
      <alignment horizontal="right" vertical="center"/>
    </xf>
    <xf numFmtId="49" fontId="0" fillId="0" borderId="2" xfId="4" applyNumberFormat="1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6" fillId="8" borderId="7" xfId="5" applyFont="1" applyFill="1" applyBorder="1" applyAlignment="1">
      <alignment vertical="center" wrapText="1"/>
    </xf>
    <xf numFmtId="0" fontId="6" fillId="8" borderId="8" xfId="5" applyFont="1" applyFill="1" applyBorder="1" applyAlignment="1">
      <alignment vertical="center" wrapText="1"/>
    </xf>
    <xf numFmtId="49" fontId="7" fillId="5" borderId="2" xfId="4" applyNumberFormat="1" applyFont="1" applyFill="1" applyBorder="1" applyAlignment="1" applyProtection="1">
      <alignment horizontal="left" vertical="top" wrapText="1"/>
      <protection locked="0"/>
    </xf>
    <xf numFmtId="49" fontId="7" fillId="10" borderId="2" xfId="4" applyNumberFormat="1" applyFont="1" applyFill="1" applyBorder="1" applyAlignment="1">
      <alignment horizontal="left" vertical="top" wrapText="1"/>
    </xf>
    <xf numFmtId="0" fontId="14" fillId="8" borderId="6" xfId="0" applyFont="1" applyFill="1" applyBorder="1" applyAlignment="1">
      <alignment vertical="center"/>
    </xf>
    <xf numFmtId="0" fontId="14" fillId="8" borderId="7" xfId="0" applyFont="1" applyFill="1" applyBorder="1" applyAlignment="1">
      <alignment vertical="center"/>
    </xf>
    <xf numFmtId="0" fontId="5" fillId="0" borderId="2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1 4 3 3 2 3 3" xfId="4" xr:uid="{4F5D0BB4-92D4-432B-8925-F27DE55ABAA0}"/>
    <cellStyle name="Обычный 11 4 3 3 2 3 3 2" xfId="9" xr:uid="{5F69453E-3D62-4E88-9126-12FA3CBC7AF4}"/>
    <cellStyle name="Обычный 12" xfId="3" xr:uid="{C1E1391E-2115-4052-8717-05F012F70101}"/>
    <cellStyle name="Обычный 12 3 2 2 3" xfId="5" xr:uid="{AD24F1CD-8A96-412E-890B-EFE6C233E73E}"/>
    <cellStyle name="Обычный 2 15" xfId="7" xr:uid="{732BECD8-545D-4678-9793-C7F44927CDD1}"/>
    <cellStyle name="Обычный 2 2" xfId="6" xr:uid="{FE83B2C3-5326-42A7-AF08-EC6725694A91}"/>
    <cellStyle name="Обычный 4 2" xfId="8" xr:uid="{1C58B0AC-0A72-4508-871B-3A9EDAAA2A22}"/>
    <cellStyle name="Процентный 2" xfId="1" xr:uid="{886BB8ED-DEA3-4BBA-8D22-91EB76F7DB6F}"/>
    <cellStyle name="Процентный 5" xfId="2" xr:uid="{9AB6CBA6-7F05-4DC0-870A-3E4EA92379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62576</xdr:colOff>
      <xdr:row>11</xdr:row>
      <xdr:rowOff>122900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3DD1D2D9-EDF5-4C1D-BBAF-7BA186FAEC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88;&#1077;&#1083;&#1103;&#1082;&#1086;&#1074;&#1072;\&#1084;&#1086;&#1080;%20&#1088;&#1072;&#1081;&#1086;&#1085;&#1099;\&#1059;&#1085;&#1080;&#1085;&#1089;&#1082;&#1080;&#1081;\+&#1054;&#1054;&#1054;%20&#1056;&#1086;&#1076;&#1085;&#1080;&#1082;%20&#1087;&#1075;&#1090;%20&#1059;&#1085;&#1080;&#1085;.&#1052;&#1054;\&#1085;&#1072;%202025\&#1054;&#1054;&#1054;%20&#1056;&#1086;&#1076;&#1085;&#1080;&#1082;%20&#1087;&#1075;&#1090;%20&#1059;&#1085;&#1080;%20EXPERT.VSVO.INDEX.CORR%20(v4.3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50;&#1086;&#1087;&#1080;&#1103;%20&#1056;&#1072;&#1089;&#1095;&#1077;&#1090;%20&#1082;&#1086;&#1088;&#1088;%202025%20&#1042;&#1054;&#1044;&#1040;!!!!!!!!!!!!!!!!!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  <sheetName val="Лист1"/>
      <sheetName val="Лист2"/>
      <sheetName val="ООО Родник пгт Уни EXPERT.VSVO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ООО «Родник» (ИНН:4333004489, КПП:433301001) / ДПР: 2022-2026</v>
          </cell>
        </row>
        <row r="41">
          <cell r="H41" t="str">
            <v>да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ХВС.43.31195562.0003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</sheetData>
      <sheetData sheetId="14"/>
      <sheetData sheetId="15"/>
      <sheetData sheetId="16">
        <row r="3">
          <cell r="O3" t="str">
            <v>2023Принято органом регулирования</v>
          </cell>
          <cell r="P3" t="str">
            <v>2023Факт по данным организации</v>
          </cell>
          <cell r="Q3" t="str">
            <v>2023Факт, принятый органом регулирования</v>
          </cell>
          <cell r="R3" t="str">
            <v>2023Комментарии</v>
          </cell>
          <cell r="S3" t="str">
            <v>2024Принято органом регулирования</v>
          </cell>
          <cell r="T3" t="str">
            <v>2025Предложение организации</v>
          </cell>
          <cell r="U3" t="str">
            <v>2025Принято органом регулирования</v>
          </cell>
          <cell r="V3" t="str">
            <v>2025% роста / снижения</v>
          </cell>
          <cell r="W3" t="str">
            <v>2025Отклонение (принято органом регулирования - заявлено организацией)</v>
          </cell>
          <cell r="X3" t="str">
            <v>2025Комментарии</v>
          </cell>
          <cell r="Y3" t="str">
            <v>2026Предложение организации</v>
          </cell>
          <cell r="Z3" t="str">
            <v>2026Принято органом регулирования</v>
          </cell>
          <cell r="AA3" t="str">
            <v>2027Предложение организации</v>
          </cell>
          <cell r="AB3" t="str">
            <v>2027Принято органом регулирования</v>
          </cell>
          <cell r="AC3" t="str">
            <v>2028Предложение организации</v>
          </cell>
          <cell r="AD3" t="str">
            <v>2028Принято органом регулирования</v>
          </cell>
          <cell r="AE3" t="str">
            <v>2029Предложение организации</v>
          </cell>
          <cell r="AF3" t="str">
            <v>2029Принято органом регулирования</v>
          </cell>
          <cell r="AG3" t="str">
            <v>2030Предложение организации</v>
          </cell>
          <cell r="AH3" t="str">
            <v>2030Принято органом регулирования</v>
          </cell>
          <cell r="AI3" t="str">
            <v>2031Предложение организации</v>
          </cell>
          <cell r="AJ3" t="str">
            <v>2031Принято органом регулирования</v>
          </cell>
          <cell r="AK3" t="str">
            <v>2032Предложение организации</v>
          </cell>
          <cell r="AL3" t="str">
            <v>2032Принято органом регулирования</v>
          </cell>
          <cell r="AM3" t="str">
            <v>2033Предложение организации</v>
          </cell>
          <cell r="AN3" t="str">
            <v>2033Принято органом регулирования</v>
          </cell>
          <cell r="AO3" t="str">
            <v>2034Предложение организации</v>
          </cell>
          <cell r="AP3" t="str">
            <v>2034Принято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</v>
          </cell>
          <cell r="T17">
            <v>1</v>
          </cell>
          <cell r="U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V18">
            <v>0</v>
          </cell>
          <cell r="W18">
            <v>0</v>
          </cell>
        </row>
        <row r="19">
          <cell r="A19" t="str">
            <v>1</v>
          </cell>
          <cell r="B19" t="str">
            <v>ИПЦ</v>
          </cell>
          <cell r="V19">
            <v>0</v>
          </cell>
          <cell r="W19">
            <v>0</v>
          </cell>
        </row>
        <row r="20">
          <cell r="A20" t="str">
            <v>1</v>
          </cell>
          <cell r="V20">
            <v>0</v>
          </cell>
          <cell r="W20">
            <v>0</v>
          </cell>
        </row>
        <row r="21">
          <cell r="A21" t="str">
            <v>1</v>
          </cell>
          <cell r="B21" t="str">
            <v>ИКА</v>
          </cell>
          <cell r="V21">
            <v>0</v>
          </cell>
          <cell r="W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V23">
            <v>0</v>
          </cell>
          <cell r="W23">
            <v>0</v>
          </cell>
        </row>
        <row r="24">
          <cell r="A24" t="str">
            <v>1</v>
          </cell>
          <cell r="V24">
            <v>0</v>
          </cell>
          <cell r="W24">
            <v>0</v>
          </cell>
        </row>
        <row r="25">
          <cell r="A25" t="str">
            <v>1</v>
          </cell>
        </row>
        <row r="26">
          <cell r="A26" t="str">
            <v>1</v>
          </cell>
          <cell r="V26">
            <v>0</v>
          </cell>
          <cell r="W26">
            <v>0</v>
          </cell>
        </row>
        <row r="27">
          <cell r="A27" t="str">
            <v>1</v>
          </cell>
          <cell r="V27">
            <v>0</v>
          </cell>
          <cell r="W27">
            <v>0</v>
          </cell>
        </row>
        <row r="28">
          <cell r="A28" t="str">
            <v>1</v>
          </cell>
          <cell r="V28">
            <v>0</v>
          </cell>
          <cell r="W28">
            <v>0</v>
          </cell>
        </row>
        <row r="29">
          <cell r="A29" t="str">
            <v>1</v>
          </cell>
          <cell r="V29">
            <v>0</v>
          </cell>
          <cell r="W29">
            <v>0</v>
          </cell>
        </row>
        <row r="30">
          <cell r="A30" t="str">
            <v>1</v>
          </cell>
          <cell r="V30">
            <v>0</v>
          </cell>
          <cell r="W30">
            <v>0</v>
          </cell>
        </row>
        <row r="31">
          <cell r="A31" t="str">
            <v>1</v>
          </cell>
          <cell r="V31">
            <v>0</v>
          </cell>
          <cell r="W31">
            <v>0</v>
          </cell>
        </row>
        <row r="32">
          <cell r="A32" t="str">
            <v>1</v>
          </cell>
          <cell r="V32">
            <v>0</v>
          </cell>
          <cell r="W32">
            <v>0</v>
          </cell>
        </row>
        <row r="33">
          <cell r="A33" t="str">
            <v>1</v>
          </cell>
          <cell r="V33">
            <v>0</v>
          </cell>
          <cell r="W33">
            <v>0</v>
          </cell>
        </row>
        <row r="34">
          <cell r="A34" t="str">
            <v>t</v>
          </cell>
        </row>
      </sheetData>
      <sheetData sheetId="17">
        <row r="16">
          <cell r="O16" t="str">
            <v>Принято органом регулирования</v>
          </cell>
          <cell r="P16" t="str">
            <v>Факт по данным организации</v>
          </cell>
          <cell r="Q16" t="str">
            <v>Факт, принятый органом регулирования</v>
          </cell>
          <cell r="R16" t="str">
            <v>Принято органом регулирования</v>
          </cell>
          <cell r="S16" t="str">
            <v>Предложение организации</v>
          </cell>
          <cell r="T16" t="str">
            <v>Предложение организации</v>
          </cell>
          <cell r="U16" t="str">
            <v>Предложение организации</v>
          </cell>
          <cell r="V16" t="str">
            <v>Предложение организации</v>
          </cell>
          <cell r="W16" t="str">
            <v>Предложение организации</v>
          </cell>
          <cell r="X16" t="str">
            <v>Предложение организации</v>
          </cell>
          <cell r="Y16" t="str">
            <v>Предложение организации</v>
          </cell>
          <cell r="Z16" t="str">
            <v>Предложение организации</v>
          </cell>
          <cell r="AA16" t="str">
            <v>Предложение организации</v>
          </cell>
          <cell r="AB16" t="str">
            <v>Предложение организации</v>
          </cell>
          <cell r="AC16" t="str">
            <v>Принято органом регулирования</v>
          </cell>
          <cell r="AD16" t="str">
            <v>Принято органом регулирования</v>
          </cell>
          <cell r="AE16" t="str">
            <v>Принято органом регулирования</v>
          </cell>
          <cell r="AF16" t="str">
            <v>Принято органом регулирования</v>
          </cell>
          <cell r="AG16" t="str">
            <v>Принято органом регулирования</v>
          </cell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1</v>
          </cell>
        </row>
        <row r="18">
          <cell r="A18" t="str">
            <v>1</v>
          </cell>
          <cell r="O18" t="str">
            <v>питьевая вода</v>
          </cell>
        </row>
        <row r="19">
          <cell r="A19" t="str">
            <v>1</v>
          </cell>
          <cell r="O19">
            <v>25</v>
          </cell>
          <cell r="P19">
            <v>25</v>
          </cell>
          <cell r="Q19">
            <v>25</v>
          </cell>
          <cell r="R19">
            <v>25</v>
          </cell>
          <cell r="S19">
            <v>25</v>
          </cell>
          <cell r="AC19">
            <v>25</v>
          </cell>
        </row>
        <row r="20">
          <cell r="A20" t="str">
            <v>1</v>
          </cell>
          <cell r="O20">
            <v>25</v>
          </cell>
          <cell r="P20">
            <v>25</v>
          </cell>
          <cell r="Q20">
            <v>25</v>
          </cell>
          <cell r="R20">
            <v>25</v>
          </cell>
          <cell r="S20">
            <v>25</v>
          </cell>
          <cell r="AC20">
            <v>25</v>
          </cell>
        </row>
        <row r="21">
          <cell r="A21" t="str">
            <v>1</v>
          </cell>
          <cell r="O21">
            <v>109.53999999999999</v>
          </cell>
          <cell r="P21">
            <v>101.887</v>
          </cell>
          <cell r="Q21">
            <v>101.883</v>
          </cell>
          <cell r="R21">
            <v>109.53999999999999</v>
          </cell>
          <cell r="S21">
            <v>109.53999999999999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109.54084999999998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</row>
        <row r="23">
          <cell r="A23" t="str">
            <v>1</v>
          </cell>
          <cell r="O23">
            <v>109.54</v>
          </cell>
          <cell r="P23">
            <v>101.887</v>
          </cell>
          <cell r="Q23">
            <v>101.883</v>
          </cell>
          <cell r="R23">
            <v>109.54</v>
          </cell>
          <cell r="S23">
            <v>109.54</v>
          </cell>
          <cell r="AC23">
            <v>109.54084999999998</v>
          </cell>
        </row>
        <row r="24">
          <cell r="A24" t="str">
            <v>1</v>
          </cell>
        </row>
        <row r="25">
          <cell r="A25" t="str">
            <v>1</v>
          </cell>
          <cell r="O25">
            <v>0.1</v>
          </cell>
          <cell r="P25">
            <v>0.1</v>
          </cell>
          <cell r="Q25">
            <v>0.1</v>
          </cell>
          <cell r="R25">
            <v>0.1</v>
          </cell>
          <cell r="S25">
            <v>0.1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0.1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1</v>
          </cell>
          <cell r="O26">
            <v>0.1</v>
          </cell>
          <cell r="P26">
            <v>0.1</v>
          </cell>
          <cell r="Q26">
            <v>0.1</v>
          </cell>
          <cell r="R26">
            <v>0.1</v>
          </cell>
          <cell r="S26">
            <v>0.1</v>
          </cell>
          <cell r="AC26">
            <v>0.1</v>
          </cell>
        </row>
        <row r="27">
          <cell r="A27" t="str">
            <v>1</v>
          </cell>
        </row>
        <row r="28">
          <cell r="A28" t="str">
            <v>1</v>
          </cell>
        </row>
        <row r="29">
          <cell r="A29" t="str">
            <v>1</v>
          </cell>
        </row>
        <row r="30">
          <cell r="A30" t="str">
            <v>1</v>
          </cell>
          <cell r="O30">
            <v>109.44</v>
          </cell>
          <cell r="P30">
            <v>101.78700000000001</v>
          </cell>
          <cell r="Q30">
            <v>101.783</v>
          </cell>
          <cell r="R30">
            <v>109.44</v>
          </cell>
          <cell r="S30">
            <v>109.44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109.44084999999998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1</v>
          </cell>
          <cell r="O31">
            <v>109.44</v>
          </cell>
          <cell r="P31">
            <v>101.78700000000001</v>
          </cell>
          <cell r="Q31">
            <v>101.783</v>
          </cell>
          <cell r="R31">
            <v>109.44</v>
          </cell>
          <cell r="S31">
            <v>109.44</v>
          </cell>
          <cell r="AC31">
            <v>109.44084999999998</v>
          </cell>
        </row>
        <row r="32">
          <cell r="A32" t="str">
            <v>1</v>
          </cell>
        </row>
        <row r="33">
          <cell r="A33" t="str">
            <v>1</v>
          </cell>
        </row>
        <row r="34">
          <cell r="A34" t="str">
            <v>1</v>
          </cell>
          <cell r="O34">
            <v>2.38</v>
          </cell>
          <cell r="P34">
            <v>2.214</v>
          </cell>
          <cell r="Q34">
            <v>2.21</v>
          </cell>
          <cell r="R34">
            <v>2.38</v>
          </cell>
          <cell r="S34">
            <v>2.38</v>
          </cell>
          <cell r="AC34">
            <v>2.38</v>
          </cell>
        </row>
        <row r="35">
          <cell r="A35" t="str">
            <v>1</v>
          </cell>
          <cell r="O35">
            <v>2.1747076023391814</v>
          </cell>
          <cell r="P35">
            <v>2.1751304194052286</v>
          </cell>
          <cell r="Q35">
            <v>2.1712859711346688</v>
          </cell>
          <cell r="R35">
            <v>2.1747076023391814</v>
          </cell>
          <cell r="S35">
            <v>2.1747076023391814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2.1746907119233816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O36">
            <v>107.06</v>
          </cell>
          <cell r="P36">
            <v>99.573000000000008</v>
          </cell>
          <cell r="Q36">
            <v>99.573000000000008</v>
          </cell>
          <cell r="R36">
            <v>107.06</v>
          </cell>
          <cell r="S36">
            <v>107.06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107.06084999999999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B37" t="str">
            <v/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</row>
        <row r="39">
          <cell r="A39" t="str">
            <v>1</v>
          </cell>
        </row>
        <row r="40">
          <cell r="A40" t="str">
            <v>1</v>
          </cell>
        </row>
        <row r="41">
          <cell r="A41" t="str">
            <v>1</v>
          </cell>
          <cell r="B41" t="str">
            <v>ПО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</row>
        <row r="43">
          <cell r="A43" t="str">
            <v>1</v>
          </cell>
        </row>
        <row r="44">
          <cell r="A44" t="str">
            <v>1</v>
          </cell>
          <cell r="B44" t="str">
            <v>ПО</v>
          </cell>
          <cell r="O44">
            <v>107.06</v>
          </cell>
          <cell r="P44">
            <v>99.573000000000008</v>
          </cell>
          <cell r="Q44">
            <v>99.573000000000008</v>
          </cell>
          <cell r="R44">
            <v>107.06</v>
          </cell>
          <cell r="S44">
            <v>107.06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107.06084999999999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O45">
            <v>10.210000000000001</v>
          </cell>
          <cell r="P45">
            <v>8.0389999999999997</v>
          </cell>
          <cell r="Q45">
            <v>8.0389999999999997</v>
          </cell>
          <cell r="R45">
            <v>10.210000000000001</v>
          </cell>
          <cell r="S45">
            <v>10.210000000000001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10.2104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P46">
            <v>8.0389999999999997</v>
          </cell>
          <cell r="Q46">
            <v>8.0389999999999997</v>
          </cell>
          <cell r="S46">
            <v>10.210000000000001</v>
          </cell>
          <cell r="AC46">
            <v>10.2104</v>
          </cell>
        </row>
        <row r="47">
          <cell r="A47" t="str">
            <v>1</v>
          </cell>
          <cell r="O47">
            <v>10.210000000000001</v>
          </cell>
          <cell r="R47">
            <v>10.210000000000001</v>
          </cell>
        </row>
        <row r="48">
          <cell r="A48" t="str">
            <v>1</v>
          </cell>
          <cell r="B48" t="str">
            <v>население</v>
          </cell>
          <cell r="O48">
            <v>92.72</v>
          </cell>
          <cell r="P48">
            <v>86.353999999999999</v>
          </cell>
          <cell r="Q48">
            <v>86.353999999999999</v>
          </cell>
          <cell r="R48">
            <v>92.72</v>
          </cell>
          <cell r="S48">
            <v>92.72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92.72045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O49">
            <v>92.72</v>
          </cell>
          <cell r="P49">
            <v>78.606999999999999</v>
          </cell>
          <cell r="Q49">
            <v>78.606999999999999</v>
          </cell>
          <cell r="R49">
            <v>92.72</v>
          </cell>
          <cell r="S49">
            <v>84.97</v>
          </cell>
          <cell r="AC49">
            <v>92.72045</v>
          </cell>
        </row>
        <row r="50">
          <cell r="A50" t="str">
            <v>1</v>
          </cell>
          <cell r="P50">
            <v>7.7469999999999999</v>
          </cell>
          <cell r="Q50">
            <v>7.7469999999999999</v>
          </cell>
          <cell r="S50">
            <v>7.75</v>
          </cell>
        </row>
        <row r="51">
          <cell r="A51" t="str">
            <v>1</v>
          </cell>
          <cell r="O51">
            <v>4.13</v>
          </cell>
          <cell r="P51">
            <v>5.18</v>
          </cell>
          <cell r="Q51">
            <v>5.18</v>
          </cell>
          <cell r="R51">
            <v>4.13</v>
          </cell>
          <cell r="S51">
            <v>4.13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4.13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P52">
            <v>5.18</v>
          </cell>
          <cell r="Q52">
            <v>5.18</v>
          </cell>
          <cell r="S52">
            <v>4.13</v>
          </cell>
          <cell r="AC52">
            <v>4.13</v>
          </cell>
        </row>
        <row r="53">
          <cell r="A53" t="str">
            <v>1</v>
          </cell>
          <cell r="O53">
            <v>4.13</v>
          </cell>
          <cell r="R53">
            <v>4.13</v>
          </cell>
        </row>
        <row r="54">
          <cell r="A54" t="str">
            <v>1</v>
          </cell>
        </row>
        <row r="57">
          <cell r="O57" t="str">
            <v>2023 год</v>
          </cell>
          <cell r="P57" t="str">
            <v>2023 год</v>
          </cell>
          <cell r="Q57" t="str">
            <v>2023 год</v>
          </cell>
          <cell r="R57" t="str">
            <v>2024 год</v>
          </cell>
          <cell r="S57" t="str">
            <v>2025 год</v>
          </cell>
          <cell r="T57" t="str">
            <v>2026 год</v>
          </cell>
          <cell r="U57" t="str">
            <v>2027 год</v>
          </cell>
          <cell r="V57" t="str">
            <v>2028 год</v>
          </cell>
          <cell r="W57" t="str">
            <v>2029 год</v>
          </cell>
          <cell r="X57" t="str">
            <v>2030 год</v>
          </cell>
          <cell r="Y57" t="str">
            <v>2031 год</v>
          </cell>
          <cell r="Z57" t="str">
            <v>2032 год</v>
          </cell>
          <cell r="AA57" t="str">
            <v>2033 год</v>
          </cell>
          <cell r="AB57" t="str">
            <v>2034 год</v>
          </cell>
          <cell r="AC57" t="str">
            <v>2025 год</v>
          </cell>
          <cell r="AD57" t="str">
            <v>2026 год</v>
          </cell>
          <cell r="AE57" t="str">
            <v>2027 год</v>
          </cell>
          <cell r="AF57" t="str">
            <v>2028 год</v>
          </cell>
          <cell r="AG57" t="str">
            <v>2029 год</v>
          </cell>
          <cell r="AH57" t="str">
            <v>2030 год</v>
          </cell>
          <cell r="AI57" t="str">
            <v>2031 год</v>
          </cell>
          <cell r="AJ57" t="str">
            <v>2032 год</v>
          </cell>
          <cell r="AK57" t="str">
            <v>2033 год</v>
          </cell>
          <cell r="AL57" t="str">
            <v>2034 год</v>
          </cell>
        </row>
        <row r="58">
          <cell r="O58" t="str">
            <v>Принято органом регулирования</v>
          </cell>
          <cell r="P58" t="str">
            <v>Факт по данным организации</v>
          </cell>
          <cell r="Q58" t="str">
            <v>Факт, принятый органом регулирования</v>
          </cell>
          <cell r="R58" t="str">
            <v>Принято органом регулирования</v>
          </cell>
          <cell r="S58" t="str">
            <v>Предложение организации</v>
          </cell>
          <cell r="T58" t="str">
            <v>Предложение организации</v>
          </cell>
          <cell r="U58" t="str">
            <v>Предложение организации</v>
          </cell>
          <cell r="V58" t="str">
            <v>Предложение организации</v>
          </cell>
          <cell r="W58" t="str">
            <v>Предложение организации</v>
          </cell>
          <cell r="X58" t="str">
            <v>Предложение организации</v>
          </cell>
          <cell r="Y58" t="str">
            <v>Предложение организации</v>
          </cell>
          <cell r="Z58" t="str">
            <v>Предложение организации</v>
          </cell>
          <cell r="AA58" t="str">
            <v>Предложение организации</v>
          </cell>
          <cell r="AB58" t="str">
            <v>Предложение организации</v>
          </cell>
          <cell r="AC58" t="str">
            <v>Принято органом регулирования</v>
          </cell>
          <cell r="AD58" t="str">
            <v>Принято органом регулирования</v>
          </cell>
          <cell r="AE58" t="str">
            <v>Принято органом регулирования</v>
          </cell>
          <cell r="AF58" t="str">
            <v>Принято органом регулирования</v>
          </cell>
          <cell r="AG58" t="str">
            <v>Принято органом регулирования</v>
          </cell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O61" t="str">
            <v>2023 год</v>
          </cell>
          <cell r="P61" t="str">
            <v>2023 год</v>
          </cell>
          <cell r="Q61" t="str">
            <v>2023 год</v>
          </cell>
          <cell r="R61" t="str">
            <v>2024 год</v>
          </cell>
          <cell r="S61" t="str">
            <v>2025 год</v>
          </cell>
          <cell r="T61" t="str">
            <v>2026 год</v>
          </cell>
          <cell r="U61" t="str">
            <v>2027 год</v>
          </cell>
          <cell r="V61" t="str">
            <v>2028 год</v>
          </cell>
          <cell r="W61" t="str">
            <v>2029 год</v>
          </cell>
          <cell r="X61" t="str">
            <v>2030 год</v>
          </cell>
          <cell r="Y61" t="str">
            <v>2031 год</v>
          </cell>
          <cell r="Z61" t="str">
            <v>2032 год</v>
          </cell>
          <cell r="AA61" t="str">
            <v>2033 год</v>
          </cell>
          <cell r="AB61" t="str">
            <v>2034 год</v>
          </cell>
          <cell r="AC61" t="str">
            <v>2025 год</v>
          </cell>
          <cell r="AD61" t="str">
            <v>2026 год</v>
          </cell>
          <cell r="AE61" t="str">
            <v>2027 год</v>
          </cell>
          <cell r="AF61" t="str">
            <v>2028 год</v>
          </cell>
          <cell r="AG61" t="str">
            <v>2029 год</v>
          </cell>
          <cell r="AH61" t="str">
            <v>2030 год</v>
          </cell>
          <cell r="AI61" t="str">
            <v>2031 год</v>
          </cell>
          <cell r="AJ61" t="str">
            <v>2032 год</v>
          </cell>
          <cell r="AK61" t="str">
            <v>2033 год</v>
          </cell>
          <cell r="AL61" t="str">
            <v>2034 год</v>
          </cell>
        </row>
        <row r="62">
          <cell r="O62" t="str">
            <v>Принято органом регулирования</v>
          </cell>
          <cell r="P62" t="str">
            <v>Факт по данным организации</v>
          </cell>
          <cell r="Q62" t="str">
            <v>Факт, принятый органом регулирования</v>
          </cell>
          <cell r="R62" t="str">
            <v>Принято органом регулирования</v>
          </cell>
          <cell r="S62" t="str">
            <v>Предложение организации</v>
          </cell>
          <cell r="T62" t="str">
            <v>Предложение организации</v>
          </cell>
          <cell r="U62" t="str">
            <v>Предложение организации</v>
          </cell>
          <cell r="V62" t="str">
            <v>Предложение организации</v>
          </cell>
          <cell r="W62" t="str">
            <v>Предложение организации</v>
          </cell>
          <cell r="X62" t="str">
            <v>Предложение организации</v>
          </cell>
          <cell r="Y62" t="str">
            <v>Предложение организации</v>
          </cell>
          <cell r="Z62" t="str">
            <v>Предложение организации</v>
          </cell>
          <cell r="AA62" t="str">
            <v>Предложение организации</v>
          </cell>
          <cell r="AB62" t="str">
            <v>Предложение организации</v>
          </cell>
          <cell r="AC62" t="str">
            <v>Принято органом регулирования</v>
          </cell>
          <cell r="AD62" t="str">
            <v>Принято органом регулирования</v>
          </cell>
          <cell r="AE62" t="str">
            <v>Принято органом регулирования</v>
          </cell>
          <cell r="AF62" t="str">
            <v>Принято органом регулирования</v>
          </cell>
          <cell r="AG62" t="str">
            <v>Принято органом регулирования</v>
          </cell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5">
          <cell r="O65" t="str">
            <v>2023 год</v>
          </cell>
          <cell r="P65" t="str">
            <v>2023 год</v>
          </cell>
          <cell r="Q65" t="str">
            <v>2023 год</v>
          </cell>
          <cell r="R65" t="str">
            <v>2024 год</v>
          </cell>
          <cell r="S65" t="str">
            <v>2025 год</v>
          </cell>
          <cell r="T65" t="str">
            <v>2026 год</v>
          </cell>
          <cell r="U65" t="str">
            <v>2027 год</v>
          </cell>
          <cell r="V65" t="str">
            <v>2028 год</v>
          </cell>
          <cell r="W65" t="str">
            <v>2029 год</v>
          </cell>
          <cell r="X65" t="str">
            <v>2030 год</v>
          </cell>
          <cell r="Y65" t="str">
            <v>2031 год</v>
          </cell>
          <cell r="Z65" t="str">
            <v>2032 год</v>
          </cell>
          <cell r="AA65" t="str">
            <v>2033 год</v>
          </cell>
          <cell r="AB65" t="str">
            <v>2034 год</v>
          </cell>
          <cell r="AC65" t="str">
            <v>2025 год</v>
          </cell>
          <cell r="AD65" t="str">
            <v>2026 год</v>
          </cell>
          <cell r="AE65" t="str">
            <v>2027 год</v>
          </cell>
          <cell r="AF65" t="str">
            <v>2028 год</v>
          </cell>
          <cell r="AG65" t="str">
            <v>2029 год</v>
          </cell>
          <cell r="AH65" t="str">
            <v>2030 год</v>
          </cell>
          <cell r="AI65" t="str">
            <v>2031 год</v>
          </cell>
          <cell r="AJ65" t="str">
            <v>2032 год</v>
          </cell>
          <cell r="AK65" t="str">
            <v>2033 год</v>
          </cell>
          <cell r="AL65" t="str">
            <v>2034 год</v>
          </cell>
        </row>
        <row r="66">
          <cell r="O66" t="str">
            <v>Принято органом регулирования</v>
          </cell>
          <cell r="P66" t="str">
            <v>Факт по данным организации</v>
          </cell>
          <cell r="Q66" t="str">
            <v>Факт, принятый органом регулирования</v>
          </cell>
          <cell r="R66" t="str">
            <v>Принято органом регулирования</v>
          </cell>
          <cell r="S66" t="str">
            <v>Предложение организации</v>
          </cell>
          <cell r="T66" t="str">
            <v>Предложение организации</v>
          </cell>
          <cell r="U66" t="str">
            <v>Предложение организации</v>
          </cell>
          <cell r="V66" t="str">
            <v>Предложение организации</v>
          </cell>
          <cell r="W66" t="str">
            <v>Предложение организации</v>
          </cell>
          <cell r="X66" t="str">
            <v>Предложение организации</v>
          </cell>
          <cell r="Y66" t="str">
            <v>Предложение организации</v>
          </cell>
          <cell r="Z66" t="str">
            <v>Предложение организации</v>
          </cell>
          <cell r="AA66" t="str">
            <v>Предложение организации</v>
          </cell>
          <cell r="AB66" t="str">
            <v>Предложение организации</v>
          </cell>
          <cell r="AC66" t="str">
            <v>Принято органом регулирования</v>
          </cell>
          <cell r="AD66" t="str">
            <v>Принято органом регулирования</v>
          </cell>
          <cell r="AE66" t="str">
            <v>Принято органом регулирования</v>
          </cell>
          <cell r="AF66" t="str">
            <v>Принято органом регулирования</v>
          </cell>
          <cell r="AG66" t="str">
            <v>Принято органом регулирования</v>
          </cell>
          <cell r="AH66" t="str">
            <v>Принято органом регулирования</v>
          </cell>
          <cell r="AI66" t="str">
            <v>Принято органом регулирования</v>
          </cell>
          <cell r="AJ66" t="str">
            <v>Принято органом регулирования</v>
          </cell>
          <cell r="AK66" t="str">
            <v>Принято органом регулирования</v>
          </cell>
          <cell r="AL66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</v>
          </cell>
        </row>
      </sheetData>
      <sheetData sheetId="19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</row>
        <row r="20">
          <cell r="A20" t="str">
            <v>1</v>
          </cell>
          <cell r="M20" t="str">
            <v>Средний (расчетный) тариф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НН</v>
          </cell>
        </row>
        <row r="24">
          <cell r="A24" t="str">
            <v>1</v>
          </cell>
          <cell r="M24" t="str">
            <v>Тариф на электроэнергию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</row>
        <row r="26">
          <cell r="A26" t="str">
            <v>1</v>
          </cell>
          <cell r="M26" t="str">
            <v>СН1</v>
          </cell>
        </row>
        <row r="27">
          <cell r="A27" t="str">
            <v>1</v>
          </cell>
          <cell r="M27" t="str">
            <v>Тариф на электроэнергию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A28" t="str">
            <v>1</v>
          </cell>
          <cell r="M28" t="str">
            <v>Объём покупной электроэнергии</v>
          </cell>
        </row>
        <row r="29">
          <cell r="A29" t="str">
            <v>1</v>
          </cell>
          <cell r="M29" t="str">
            <v>Добавить</v>
          </cell>
        </row>
        <row r="30">
          <cell r="A30" t="str">
            <v>1</v>
          </cell>
          <cell r="M30" t="str">
            <v>Двухставочный тариф</v>
          </cell>
        </row>
        <row r="31">
          <cell r="A31" t="str">
            <v>1</v>
          </cell>
          <cell r="M31" t="str">
            <v xml:space="preserve">Добавить </v>
          </cell>
        </row>
      </sheetData>
      <sheetData sheetId="20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</row>
        <row r="19">
          <cell r="A19" t="str">
            <v>1</v>
          </cell>
          <cell r="M19" t="str">
            <v>Сооружения и передаточные устройства</v>
          </cell>
        </row>
        <row r="20">
          <cell r="A20" t="str">
            <v>1</v>
          </cell>
          <cell r="M20" t="str">
            <v>Машины и оборудование</v>
          </cell>
        </row>
        <row r="21">
          <cell r="A21" t="str">
            <v>1</v>
          </cell>
          <cell r="M21" t="str">
            <v>Транспорт</v>
          </cell>
        </row>
        <row r="22">
          <cell r="A22" t="str">
            <v>1</v>
          </cell>
          <cell r="M22" t="str">
            <v>Прочее</v>
          </cell>
        </row>
        <row r="23">
          <cell r="A23" t="str">
            <v>1</v>
          </cell>
          <cell r="M23" t="str">
            <v>Ввод основных фондов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</row>
        <row r="55">
          <cell r="A55" t="str">
            <v>1</v>
          </cell>
          <cell r="M55" t="str">
            <v>Сооружения и передаточные устройства</v>
          </cell>
        </row>
        <row r="56">
          <cell r="A56" t="str">
            <v>1</v>
          </cell>
          <cell r="M56" t="str">
            <v>Машины и оборудование</v>
          </cell>
        </row>
        <row r="57">
          <cell r="A57" t="str">
            <v>1</v>
          </cell>
          <cell r="M57" t="str">
            <v>Транспорт</v>
          </cell>
        </row>
        <row r="58">
          <cell r="A58" t="str">
            <v>1</v>
          </cell>
          <cell r="M58" t="str">
            <v>Прочее</v>
          </cell>
        </row>
        <row r="59">
          <cell r="A59" t="str">
            <v>1</v>
          </cell>
          <cell r="M59" t="str">
            <v>Переоценка на 31.12.XX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</sheetData>
      <sheetData sheetId="21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</row>
        <row r="20">
          <cell r="A20" t="str">
            <v>1</v>
          </cell>
          <cell r="M20" t="str">
            <v>Аренда частной собственности</v>
          </cell>
        </row>
        <row r="21">
          <cell r="A21" t="str">
            <v>1</v>
          </cell>
          <cell r="M21" t="str">
            <v>Концессионная плата</v>
          </cell>
        </row>
        <row r="22">
          <cell r="A22" t="str">
            <v>1</v>
          </cell>
          <cell r="M22" t="str">
            <v>Лизинговые платежи</v>
          </cell>
        </row>
        <row r="23">
          <cell r="A23" t="str">
            <v>1</v>
          </cell>
          <cell r="M23" t="str">
            <v>Аренда земельных участков</v>
          </cell>
        </row>
      </sheetData>
      <sheetData sheetId="22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</row>
        <row r="33">
          <cell r="A33" t="str">
            <v>1</v>
          </cell>
          <cell r="M33" t="str">
            <v>Затраты на теплоноситель</v>
          </cell>
        </row>
        <row r="34">
          <cell r="A34" t="str">
            <v>1</v>
          </cell>
          <cell r="M34" t="str">
            <v>Затраты на горячую воду</v>
          </cell>
        </row>
      </sheetData>
      <sheetData sheetId="23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</row>
        <row r="19">
          <cell r="A19" t="str">
            <v>1</v>
          </cell>
          <cell r="M19" t="str">
            <v>Земельный налог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</row>
        <row r="21">
          <cell r="A21" t="str">
            <v>1</v>
          </cell>
          <cell r="M21" t="str">
            <v>Водный налог</v>
          </cell>
        </row>
        <row r="22">
          <cell r="A22" t="str">
            <v>1</v>
          </cell>
          <cell r="M22" t="str">
            <v>Плата за пользование водным объектом</v>
          </cell>
        </row>
        <row r="23">
          <cell r="A23" t="str">
            <v>1</v>
          </cell>
          <cell r="M23" t="str">
            <v>Налог на имущество</v>
          </cell>
        </row>
        <row r="24">
          <cell r="A24" t="str">
            <v>1</v>
          </cell>
          <cell r="M24" t="str">
            <v>Налог на прибыль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</row>
        <row r="26">
          <cell r="A26" t="str">
            <v>1</v>
          </cell>
          <cell r="M26" t="str">
            <v>Прочие налоги и сборы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</sheetData>
      <sheetData sheetId="24">
        <row r="17">
          <cell r="AF17" t="str">
            <v>Принято органом регулирования</v>
          </cell>
          <cell r="AG17" t="str">
            <v>Принято органом регулирования</v>
          </cell>
          <cell r="AH17" t="str">
            <v>Принято органом регулирования</v>
          </cell>
          <cell r="AI17" t="str">
            <v>Принято органом регулирования</v>
          </cell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M65" t="str">
            <v>* данные без НДС</v>
          </cell>
        </row>
      </sheetData>
      <sheetData sheetId="25">
        <row r="15">
          <cell r="Z15" t="str">
            <v>Принято органом регулирования</v>
          </cell>
          <cell r="AA15" t="str">
            <v>Принято органом регулирования</v>
          </cell>
          <cell r="AB15" t="str">
            <v>Принято органом регулирования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Расчет тарифа"/>
      <sheetName val="Расчет тарифа методом ЭОЗ"/>
      <sheetName val="Корректировка тарифа "/>
      <sheetName val="Неподконтрольные расходы"/>
      <sheetName val="Корректировка НВВ"/>
      <sheetName val="Расходы на энергоресурсы и ХВС"/>
      <sheetName val="Амортизация"/>
      <sheetName val="Арендные и лизинговые платежи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Лист1"/>
      <sheetName val="Лист2"/>
      <sheetName val="Проверка"/>
      <sheetName val="Динамика V"/>
      <sheetName val="ОПЕРАЦИОНКА"/>
    </sheetNames>
    <sheetDataSet>
      <sheetData sheetId="0" refreshError="1">
        <row r="4">
          <cell r="F4" t="str">
            <v>питьевую воду (питьевое водоснабжение)</v>
          </cell>
        </row>
        <row r="9">
          <cell r="F9">
            <v>2025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5"/>
  <sheetViews>
    <sheetView tabSelected="1" topLeftCell="L11" zoomScale="90" zoomScaleNormal="90" workbookViewId="0">
      <selection activeCell="AD130" sqref="AD130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hidden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customWidth="1"/>
    <col min="51" max="51" width="17.85546875" style="1" customWidth="1"/>
    <col min="52" max="52" width="31.85546875" style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 t="str">
        <f>tpl_title</f>
        <v>Кировская область / 2025 / ООО «Родник» (ИНН:4333004489, КПП:433301001) / ДПР: 2022-2026</v>
      </c>
      <c r="N11" s="1"/>
    </row>
    <row r="12" spans="1:53" s="7" customFormat="1" ht="20.100000000000001" customHeight="1" x14ac:dyDescent="0.25">
      <c r="L12" s="8" t="s">
        <v>50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98" t="s">
        <v>0</v>
      </c>
      <c r="M14" s="98" t="s">
        <v>51</v>
      </c>
      <c r="N14" s="98" t="s">
        <v>52</v>
      </c>
      <c r="O14" s="11" t="str">
        <f>god-2 &amp; " год"</f>
        <v>2023 год</v>
      </c>
      <c r="P14" s="11" t="str">
        <f>god-2 &amp; " год"</f>
        <v>2023 год</v>
      </c>
      <c r="Q14" s="11" t="str">
        <f>god-2 &amp; " год"</f>
        <v>2023 год</v>
      </c>
      <c r="R14" s="11" t="str">
        <f>god-2 &amp; " год"</f>
        <v>2023 год</v>
      </c>
      <c r="S14" s="12" t="str">
        <f>god-1 &amp; " год"</f>
        <v>2024 год</v>
      </c>
      <c r="T14" s="13" t="str">
        <f>god &amp; " год"</f>
        <v>2025 год</v>
      </c>
      <c r="U14" s="13" t="str">
        <f>god+1 &amp; " год"</f>
        <v>2026 год</v>
      </c>
      <c r="V14" s="13" t="str">
        <f>god+2 &amp; " год"</f>
        <v>2027 год</v>
      </c>
      <c r="W14" s="13" t="str">
        <f>god+3 &amp; " год"</f>
        <v>2028 год</v>
      </c>
      <c r="X14" s="13" t="str">
        <f>god+4 &amp; " год"</f>
        <v>2029 год</v>
      </c>
      <c r="Y14" s="13" t="str">
        <f>god+5 &amp; " год"</f>
        <v>2030 год</v>
      </c>
      <c r="Z14" s="13" t="str">
        <f>god+6 &amp; " год"</f>
        <v>2031 год</v>
      </c>
      <c r="AA14" s="13" t="str">
        <f>god+7 &amp; " год"</f>
        <v>2032 год</v>
      </c>
      <c r="AB14" s="13" t="str">
        <f>god+8 &amp; " год"</f>
        <v>2033 год</v>
      </c>
      <c r="AC14" s="13" t="str">
        <f>god+9 &amp; " год"</f>
        <v>2034 год</v>
      </c>
      <c r="AD14" s="13" t="str">
        <f>god &amp; " год"</f>
        <v>2025 год</v>
      </c>
      <c r="AE14" s="13" t="str">
        <f>god+1 &amp; " год"</f>
        <v>2026 год</v>
      </c>
      <c r="AF14" s="13" t="str">
        <f>god+2 &amp; " год"</f>
        <v>2027 год</v>
      </c>
      <c r="AG14" s="13" t="str">
        <f>god+3 &amp; " год"</f>
        <v>2028 год</v>
      </c>
      <c r="AH14" s="13" t="str">
        <f>god+4 &amp; " год"</f>
        <v>2029 год</v>
      </c>
      <c r="AI14" s="13" t="str">
        <f>god+5 &amp; " год"</f>
        <v>2030 год</v>
      </c>
      <c r="AJ14" s="13" t="str">
        <f>god+6 &amp; " год"</f>
        <v>2031 год</v>
      </c>
      <c r="AK14" s="13" t="str">
        <f>god+7 &amp; " год"</f>
        <v>2032 год</v>
      </c>
      <c r="AL14" s="13" t="str">
        <f>god+8 &amp; " год"</f>
        <v>2033 год</v>
      </c>
      <c r="AM14" s="13" t="str">
        <f>god+9 &amp; " год"</f>
        <v>2034 год</v>
      </c>
      <c r="AN14" s="13" t="str">
        <f>god &amp; " год"</f>
        <v>2025 год</v>
      </c>
      <c r="AO14" s="13" t="str">
        <f>god+1 &amp; " год"</f>
        <v>2026 год</v>
      </c>
      <c r="AP14" s="13" t="str">
        <f>god+2 &amp; " год"</f>
        <v>2027 год</v>
      </c>
      <c r="AQ14" s="13" t="str">
        <f>god+3 &amp; " год"</f>
        <v>2028 год</v>
      </c>
      <c r="AR14" s="13" t="str">
        <f>god+4 &amp; " год"</f>
        <v>2029 год</v>
      </c>
      <c r="AS14" s="13" t="str">
        <f>god+5 &amp; " год"</f>
        <v>2030 год</v>
      </c>
      <c r="AT14" s="13" t="str">
        <f>god+6 &amp; " год"</f>
        <v>2031 год</v>
      </c>
      <c r="AU14" s="13" t="str">
        <f>god+7 &amp; " год"</f>
        <v>2032 год</v>
      </c>
      <c r="AV14" s="13" t="str">
        <f>god+8 &amp; " год"</f>
        <v>2033 год</v>
      </c>
      <c r="AW14" s="13" t="str">
        <f>god+9 &amp; " год"</f>
        <v>2034 год</v>
      </c>
      <c r="AX14" s="96" t="s">
        <v>53</v>
      </c>
      <c r="AY14" s="96" t="s">
        <v>54</v>
      </c>
      <c r="AZ14" s="96" t="s">
        <v>55</v>
      </c>
      <c r="BA14" s="14"/>
    </row>
    <row r="15" spans="1:53" s="3" customFormat="1" ht="45.75" customHeight="1" x14ac:dyDescent="0.25">
      <c r="L15" s="98"/>
      <c r="M15" s="98"/>
      <c r="N15" s="98"/>
      <c r="O15" s="12" t="s">
        <v>56</v>
      </c>
      <c r="P15" s="12" t="s">
        <v>1</v>
      </c>
      <c r="Q15" s="12" t="s">
        <v>57</v>
      </c>
      <c r="R15" s="11" t="s">
        <v>58</v>
      </c>
      <c r="S15" s="12" t="s">
        <v>56</v>
      </c>
      <c r="T15" s="15" t="s">
        <v>59</v>
      </c>
      <c r="U15" s="15" t="s">
        <v>59</v>
      </c>
      <c r="V15" s="15" t="s">
        <v>59</v>
      </c>
      <c r="W15" s="15" t="s">
        <v>59</v>
      </c>
      <c r="X15" s="15" t="s">
        <v>59</v>
      </c>
      <c r="Y15" s="15" t="s">
        <v>59</v>
      </c>
      <c r="Z15" s="15" t="s">
        <v>59</v>
      </c>
      <c r="AA15" s="15" t="s">
        <v>59</v>
      </c>
      <c r="AB15" s="15" t="s">
        <v>59</v>
      </c>
      <c r="AC15" s="15" t="s">
        <v>59</v>
      </c>
      <c r="AD15" s="15" t="s">
        <v>56</v>
      </c>
      <c r="AE15" s="15" t="s">
        <v>56</v>
      </c>
      <c r="AF15" s="15" t="s">
        <v>56</v>
      </c>
      <c r="AG15" s="15" t="s">
        <v>56</v>
      </c>
      <c r="AH15" s="15" t="s">
        <v>56</v>
      </c>
      <c r="AI15" s="15" t="s">
        <v>56</v>
      </c>
      <c r="AJ15" s="15" t="s">
        <v>56</v>
      </c>
      <c r="AK15" s="15" t="s">
        <v>56</v>
      </c>
      <c r="AL15" s="15" t="s">
        <v>56</v>
      </c>
      <c r="AM15" s="15" t="s">
        <v>56</v>
      </c>
      <c r="AN15" s="96" t="s">
        <v>60</v>
      </c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14"/>
    </row>
    <row r="16" spans="1:53" s="18" customFormat="1" ht="11.25" x14ac:dyDescent="0.15">
      <c r="A16" s="16" t="str">
        <f>'[1]Общие сведения'!$D$122</f>
        <v>1</v>
      </c>
      <c r="B16" s="17" t="str">
        <f>INDEX('[1]Общие сведения'!$N$121:$N$135,MATCH($A16,'[1]Общие сведения'!$D$121:$D$135,0))</f>
        <v>одноставочный</v>
      </c>
      <c r="D16" s="17" t="str">
        <f>INDEX('[1]Общие сведения'!$H$121:$H$135,MATCH($A16,'[1]Общие сведения'!$D$121:$D$135,0))</f>
        <v>Водоснабжение</v>
      </c>
      <c r="L16" s="19" t="str">
        <f>INDEX('[1]Общие сведения'!$J$121:$J$135,MATCH($A16,'[1]Общие сведения'!$D$121:$D$135,0))</f>
        <v>Тариф 1 (Водоснабжение) - тариф на питьевую воду</v>
      </c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</row>
    <row r="17" spans="1:53" s="22" customFormat="1" ht="11.25" outlineLevel="1" x14ac:dyDescent="0.25">
      <c r="A17" s="21" t="str">
        <f>A16</f>
        <v>1</v>
      </c>
      <c r="C17" s="23"/>
      <c r="D17" s="23" t="s">
        <v>61</v>
      </c>
      <c r="L17" s="24" t="s">
        <v>62</v>
      </c>
      <c r="M17" s="25" t="s">
        <v>10</v>
      </c>
      <c r="N17" s="26" t="s">
        <v>16</v>
      </c>
      <c r="O17" s="27">
        <v>5619.21</v>
      </c>
      <c r="P17" s="28">
        <v>6025.6805000000004</v>
      </c>
      <c r="Q17" s="28">
        <v>5619.210453130263</v>
      </c>
      <c r="R17" s="28">
        <v>-406.47004686973742</v>
      </c>
      <c r="S17" s="27">
        <v>5958.46</v>
      </c>
      <c r="T17" s="27">
        <v>6321.93</v>
      </c>
      <c r="U17" s="27"/>
      <c r="V17" s="27"/>
      <c r="W17" s="27"/>
      <c r="X17" s="27"/>
      <c r="Y17" s="27"/>
      <c r="Z17" s="27"/>
      <c r="AA17" s="27"/>
      <c r="AB17" s="27"/>
      <c r="AC17" s="27"/>
      <c r="AD17" s="27">
        <v>6292.9620129846862</v>
      </c>
      <c r="AE17" s="27">
        <f t="shared" ref="AE17:AM17" si="4">AD17*AE18</f>
        <v>6292.9620129846862</v>
      </c>
      <c r="AF17" s="27">
        <f t="shared" si="4"/>
        <v>6292.9620129846862</v>
      </c>
      <c r="AG17" s="27">
        <f t="shared" si="4"/>
        <v>6292.9620129846862</v>
      </c>
      <c r="AH17" s="27">
        <f t="shared" si="4"/>
        <v>6292.9620129846862</v>
      </c>
      <c r="AI17" s="27">
        <f t="shared" si="4"/>
        <v>6292.9620129846862</v>
      </c>
      <c r="AJ17" s="27">
        <f t="shared" si="4"/>
        <v>6292.9620129846862</v>
      </c>
      <c r="AK17" s="27">
        <f t="shared" si="4"/>
        <v>6292.9620129846862</v>
      </c>
      <c r="AL17" s="27">
        <f t="shared" si="4"/>
        <v>6292.9620129846862</v>
      </c>
      <c r="AM17" s="27">
        <f t="shared" si="4"/>
        <v>6292.9620129846862</v>
      </c>
      <c r="AN17" s="28">
        <f>IF(S17=0,0,(AD17-S17)/S17*100)</f>
        <v>5.6139004538871822</v>
      </c>
      <c r="AO17" s="28">
        <f t="shared" ref="AO17:AW17" si="5">IF(AD17=0,0,(AE17-AD17)/AD17*100)</f>
        <v>0</v>
      </c>
      <c r="AP17" s="28">
        <f t="shared" si="5"/>
        <v>0</v>
      </c>
      <c r="AQ17" s="28">
        <f t="shared" si="5"/>
        <v>0</v>
      </c>
      <c r="AR17" s="28">
        <f t="shared" si="5"/>
        <v>0</v>
      </c>
      <c r="AS17" s="28">
        <f t="shared" si="5"/>
        <v>0</v>
      </c>
      <c r="AT17" s="28">
        <f t="shared" si="5"/>
        <v>0</v>
      </c>
      <c r="AU17" s="28">
        <f t="shared" si="5"/>
        <v>0</v>
      </c>
      <c r="AV17" s="28">
        <f t="shared" si="5"/>
        <v>0</v>
      </c>
      <c r="AW17" s="28">
        <f t="shared" si="5"/>
        <v>0</v>
      </c>
      <c r="AX17" s="29"/>
      <c r="AY17" s="29"/>
      <c r="AZ17" s="29"/>
      <c r="BA17" s="30"/>
    </row>
    <row r="18" spans="1:53" ht="11.25" hidden="1" outlineLevel="1" x14ac:dyDescent="0.25">
      <c r="A18" s="21" t="str">
        <f t="shared" ref="A18:A81" si="6">A17</f>
        <v>1</v>
      </c>
      <c r="C18" s="31"/>
      <c r="D18" s="31" t="s">
        <v>63</v>
      </c>
      <c r="L18" s="32" t="s">
        <v>2</v>
      </c>
      <c r="M18" s="33" t="s">
        <v>64</v>
      </c>
      <c r="N18" s="34"/>
      <c r="O18" s="35"/>
      <c r="P18" s="35"/>
      <c r="Q18" s="35"/>
      <c r="R18" s="36">
        <v>0</v>
      </c>
      <c r="S18" s="35">
        <v>1</v>
      </c>
      <c r="T18" s="35">
        <v>1</v>
      </c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>
        <f>SUMIFS(INDEX([1]Сценарии!$O$15:$AP$35,,MATCH(AE$3,[1]Сценарии!$O$3:$AP$3,0)),[1]Сценарии!$A$15:$A$35,$A18,[1]Сценарии!$B$15:$B$35,"ИОР")</f>
        <v>1</v>
      </c>
      <c r="AF18" s="35">
        <f>SUMIFS(INDEX([1]Сценарии!$O$15:$AP$35,,MATCH(AF$3,[1]Сценарии!$O$3:$AP$3,0)),[1]Сценарии!$A$15:$A$35,$A18,[1]Сценарии!$B$15:$B$35,"ИОР")</f>
        <v>1</v>
      </c>
      <c r="AG18" s="35">
        <f>SUMIFS(INDEX([1]Сценарии!$O$15:$AP$35,,MATCH(AG$3,[1]Сценарии!$O$3:$AP$3,0)),[1]Сценарии!$A$15:$A$35,$A18,[1]Сценарии!$B$15:$B$35,"ИОР")</f>
        <v>1</v>
      </c>
      <c r="AH18" s="35">
        <f>SUMIFS(INDEX([1]Сценарии!$O$15:$AP$35,,MATCH(AH$3,[1]Сценарии!$O$3:$AP$3,0)),[1]Сценарии!$A$15:$A$35,$A18,[1]Сценарии!$B$15:$B$35,"ИОР")</f>
        <v>1</v>
      </c>
      <c r="AI18" s="35">
        <f>SUMIFS(INDEX([1]Сценарии!$O$15:$AP$35,,MATCH(AI$3,[1]Сценарии!$O$3:$AP$3,0)),[1]Сценарии!$A$15:$A$35,$A18,[1]Сценарии!$B$15:$B$35,"ИОР")</f>
        <v>1</v>
      </c>
      <c r="AJ18" s="35">
        <f>SUMIFS(INDEX([1]Сценарии!$O$15:$AP$35,,MATCH(AJ$3,[1]Сценарии!$O$3:$AP$3,0)),[1]Сценарии!$A$15:$A$35,$A18,[1]Сценарии!$B$15:$B$35,"ИОР")</f>
        <v>1</v>
      </c>
      <c r="AK18" s="35">
        <f>SUMIFS(INDEX([1]Сценарии!$O$15:$AP$35,,MATCH(AK$3,[1]Сценарии!$O$3:$AP$3,0)),[1]Сценарии!$A$15:$A$35,$A18,[1]Сценарии!$B$15:$B$35,"ИОР")</f>
        <v>1</v>
      </c>
      <c r="AL18" s="35">
        <f>SUMIFS(INDEX([1]Сценарии!$O$15:$AP$35,,MATCH(AL$3,[1]Сценарии!$O$3:$AP$3,0)),[1]Сценарии!$A$15:$A$35,$A18,[1]Сценарии!$B$15:$B$35,"ИОР")</f>
        <v>1</v>
      </c>
      <c r="AM18" s="35">
        <f>SUMIFS(INDEX([1]Сценарии!$O$15:$AP$35,,MATCH(AM$3,[1]Сценарии!$O$3:$AP$3,0)),[1]Сценарии!$A$15:$A$35,$A18,[1]Сценарии!$B$15:$B$35,"ИОР")</f>
        <v>1</v>
      </c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29"/>
      <c r="AY18" s="29"/>
      <c r="AZ18" s="29"/>
    </row>
    <row r="19" spans="1:53" s="30" customFormat="1" ht="21" hidden="1" outlineLevel="1" x14ac:dyDescent="0.25">
      <c r="A19" s="21" t="str">
        <f t="shared" si="6"/>
        <v>1</v>
      </c>
      <c r="C19" s="23"/>
      <c r="D19" s="23" t="s">
        <v>65</v>
      </c>
      <c r="L19" s="24" t="s">
        <v>4</v>
      </c>
      <c r="M19" s="38" t="s">
        <v>66</v>
      </c>
      <c r="N19" s="26" t="s">
        <v>16</v>
      </c>
      <c r="O19" s="39"/>
      <c r="P19" s="28">
        <v>3542.3409999999999</v>
      </c>
      <c r="Q19" s="28">
        <v>5619.210453130263</v>
      </c>
      <c r="R19" s="28">
        <v>2076.8694531302631</v>
      </c>
      <c r="S19" s="39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1"/>
      <c r="AY19" s="41"/>
      <c r="AZ19" s="41"/>
    </row>
    <row r="20" spans="1:53" ht="11.25" hidden="1" outlineLevel="1" x14ac:dyDescent="0.25">
      <c r="A20" s="21" t="str">
        <f t="shared" si="6"/>
        <v>1</v>
      </c>
      <c r="C20" s="31"/>
      <c r="D20" s="31" t="s">
        <v>67</v>
      </c>
      <c r="L20" s="32" t="s">
        <v>68</v>
      </c>
      <c r="M20" s="42" t="s">
        <v>69</v>
      </c>
      <c r="N20" s="43" t="s">
        <v>16</v>
      </c>
      <c r="O20" s="44"/>
      <c r="P20" s="45">
        <v>786.67100000000005</v>
      </c>
      <c r="Q20" s="45">
        <v>0</v>
      </c>
      <c r="R20" s="45">
        <v>-786.67100000000005</v>
      </c>
      <c r="S20" s="44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29"/>
      <c r="AY20" s="29"/>
      <c r="AZ20" s="29"/>
      <c r="BA20" s="46"/>
    </row>
    <row r="21" spans="1:53" ht="15" hidden="1" outlineLevel="1" x14ac:dyDescent="0.25">
      <c r="A21" s="21" t="str">
        <f t="shared" si="6"/>
        <v>1</v>
      </c>
      <c r="C21" s="31"/>
      <c r="D21" s="31" t="s">
        <v>70</v>
      </c>
      <c r="L21" s="32" t="s">
        <v>71</v>
      </c>
      <c r="M21" s="47" t="s">
        <v>72</v>
      </c>
      <c r="N21" s="48" t="s">
        <v>16</v>
      </c>
      <c r="O21" s="44"/>
      <c r="P21" s="49"/>
      <c r="Q21" s="49"/>
      <c r="R21" s="45">
        <v>0</v>
      </c>
      <c r="S21" s="44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29"/>
      <c r="AY21" s="29"/>
      <c r="AZ21" s="29"/>
    </row>
    <row r="22" spans="1:53" ht="63.75" hidden="1" customHeight="1" outlineLevel="1" x14ac:dyDescent="0.25">
      <c r="A22" s="21" t="str">
        <f t="shared" si="6"/>
        <v>1</v>
      </c>
      <c r="C22" s="31"/>
      <c r="D22" s="31" t="s">
        <v>73</v>
      </c>
      <c r="L22" s="32" t="s">
        <v>74</v>
      </c>
      <c r="M22" s="50" t="s">
        <v>75</v>
      </c>
      <c r="N22" s="48" t="s">
        <v>16</v>
      </c>
      <c r="O22" s="44"/>
      <c r="P22" s="49">
        <v>786.67100000000005</v>
      </c>
      <c r="Q22" s="49"/>
      <c r="R22" s="45">
        <v>-786.67100000000005</v>
      </c>
      <c r="S22" s="44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29" t="s">
        <v>76</v>
      </c>
      <c r="AY22" s="29"/>
      <c r="AZ22" s="29"/>
    </row>
    <row r="23" spans="1:53" ht="22.5" hidden="1" outlineLevel="1" x14ac:dyDescent="0.25">
      <c r="A23" s="21" t="str">
        <f t="shared" si="6"/>
        <v>1</v>
      </c>
      <c r="C23" s="31"/>
      <c r="D23" s="31" t="s">
        <v>77</v>
      </c>
      <c r="L23" s="32" t="s">
        <v>78</v>
      </c>
      <c r="M23" s="42" t="s">
        <v>79</v>
      </c>
      <c r="N23" s="43" t="s">
        <v>16</v>
      </c>
      <c r="O23" s="44"/>
      <c r="P23" s="49">
        <v>85.242999999999995</v>
      </c>
      <c r="Q23" s="49"/>
      <c r="R23" s="45">
        <v>-85.242999999999995</v>
      </c>
      <c r="S23" s="44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29"/>
      <c r="AY23" s="29"/>
      <c r="AZ23" s="29"/>
    </row>
    <row r="24" spans="1:53" ht="22.5" hidden="1" outlineLevel="1" x14ac:dyDescent="0.25">
      <c r="A24" s="21" t="str">
        <f t="shared" si="6"/>
        <v>1</v>
      </c>
      <c r="C24" s="31"/>
      <c r="D24" s="31" t="s">
        <v>80</v>
      </c>
      <c r="L24" s="32" t="s">
        <v>81</v>
      </c>
      <c r="M24" s="42" t="s">
        <v>82</v>
      </c>
      <c r="N24" s="48" t="s">
        <v>16</v>
      </c>
      <c r="O24" s="44"/>
      <c r="P24" s="51">
        <v>2403.6660000000002</v>
      </c>
      <c r="Q24" s="51">
        <v>0</v>
      </c>
      <c r="R24" s="45">
        <v>-2403.6660000000002</v>
      </c>
      <c r="S24" s="44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29"/>
      <c r="AY24" s="29"/>
      <c r="AZ24" s="29"/>
    </row>
    <row r="25" spans="1:53" ht="63.75" hidden="1" customHeight="1" outlineLevel="1" thickBot="1" x14ac:dyDescent="0.3">
      <c r="A25" s="21" t="str">
        <f t="shared" si="6"/>
        <v>1</v>
      </c>
      <c r="B25" s="52" t="s">
        <v>83</v>
      </c>
      <c r="C25" s="31"/>
      <c r="D25" s="31" t="s">
        <v>84</v>
      </c>
      <c r="L25" s="32" t="s">
        <v>85</v>
      </c>
      <c r="M25" s="47" t="s">
        <v>86</v>
      </c>
      <c r="N25" s="43" t="s">
        <v>16</v>
      </c>
      <c r="O25" s="44"/>
      <c r="P25" s="49">
        <v>1929.402</v>
      </c>
      <c r="Q25" s="49"/>
      <c r="R25" s="45">
        <v>-1929.402</v>
      </c>
      <c r="S25" s="44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29" t="s">
        <v>87</v>
      </c>
      <c r="AY25" s="29"/>
      <c r="AZ25" s="29"/>
    </row>
    <row r="26" spans="1:53" ht="30" hidden="1" outlineLevel="1" x14ac:dyDescent="0.25">
      <c r="A26" s="21" t="str">
        <f t="shared" si="6"/>
        <v>1</v>
      </c>
      <c r="B26" s="52" t="s">
        <v>88</v>
      </c>
      <c r="C26" s="31"/>
      <c r="D26" s="31" t="s">
        <v>89</v>
      </c>
      <c r="L26" s="32" t="s">
        <v>90</v>
      </c>
      <c r="M26" s="47" t="s">
        <v>91</v>
      </c>
      <c r="N26" s="48" t="s">
        <v>16</v>
      </c>
      <c r="O26" s="44"/>
      <c r="P26" s="49">
        <v>474.26400000000001</v>
      </c>
      <c r="Q26" s="49">
        <v>0</v>
      </c>
      <c r="R26" s="45">
        <v>-474.26400000000001</v>
      </c>
      <c r="S26" s="44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29"/>
      <c r="AY26" s="29"/>
      <c r="AZ26" s="29"/>
    </row>
    <row r="27" spans="1:53" ht="11.25" hidden="1" outlineLevel="1" x14ac:dyDescent="0.25">
      <c r="A27" s="21" t="str">
        <f t="shared" si="6"/>
        <v>1</v>
      </c>
      <c r="C27" s="31"/>
      <c r="D27" s="31" t="s">
        <v>92</v>
      </c>
      <c r="L27" s="32" t="s">
        <v>93</v>
      </c>
      <c r="M27" s="42" t="s">
        <v>94</v>
      </c>
      <c r="N27" s="43" t="s">
        <v>16</v>
      </c>
      <c r="O27" s="44"/>
      <c r="P27" s="49"/>
      <c r="Q27" s="49"/>
      <c r="R27" s="45">
        <v>0</v>
      </c>
      <c r="S27" s="44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29"/>
      <c r="AY27" s="29"/>
      <c r="AZ27" s="29"/>
    </row>
    <row r="28" spans="1:53" ht="15" hidden="1" outlineLevel="1" x14ac:dyDescent="0.25">
      <c r="A28" s="21" t="str">
        <f t="shared" si="6"/>
        <v>1</v>
      </c>
      <c r="C28" s="31"/>
      <c r="D28" s="31" t="s">
        <v>95</v>
      </c>
      <c r="L28" s="32" t="s">
        <v>96</v>
      </c>
      <c r="M28" s="53" t="s">
        <v>97</v>
      </c>
      <c r="N28" s="34" t="s">
        <v>16</v>
      </c>
      <c r="O28" s="44"/>
      <c r="P28" s="51">
        <v>266.76099999999997</v>
      </c>
      <c r="Q28" s="51">
        <v>5619.210453130263</v>
      </c>
      <c r="R28" s="45">
        <v>5352.4494531302626</v>
      </c>
      <c r="S28" s="44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29"/>
      <c r="AY28" s="29"/>
      <c r="AZ28" s="29"/>
    </row>
    <row r="29" spans="1:53" ht="11.25" hidden="1" outlineLevel="1" x14ac:dyDescent="0.25">
      <c r="A29" s="21" t="str">
        <f t="shared" si="6"/>
        <v>1</v>
      </c>
      <c r="C29" s="31"/>
      <c r="D29" s="31" t="s">
        <v>98</v>
      </c>
      <c r="L29" s="32" t="s">
        <v>99</v>
      </c>
      <c r="M29" s="50" t="s">
        <v>100</v>
      </c>
      <c r="N29" s="34" t="s">
        <v>16</v>
      </c>
      <c r="O29" s="44"/>
      <c r="P29" s="49">
        <v>114</v>
      </c>
      <c r="Q29" s="49"/>
      <c r="R29" s="45">
        <v>-114</v>
      </c>
      <c r="S29" s="44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29"/>
      <c r="AY29" s="29"/>
      <c r="AZ29" s="29"/>
    </row>
    <row r="30" spans="1:53" ht="22.5" hidden="1" outlineLevel="1" x14ac:dyDescent="0.25">
      <c r="A30" s="21" t="str">
        <f t="shared" si="6"/>
        <v>1</v>
      </c>
      <c r="C30" s="31"/>
      <c r="D30" s="31" t="s">
        <v>101</v>
      </c>
      <c r="L30" s="32" t="s">
        <v>102</v>
      </c>
      <c r="M30" s="50" t="s">
        <v>103</v>
      </c>
      <c r="N30" s="34" t="s">
        <v>16</v>
      </c>
      <c r="O30" s="44"/>
      <c r="P30" s="49"/>
      <c r="Q30" s="49"/>
      <c r="R30" s="45">
        <v>0</v>
      </c>
      <c r="S30" s="44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29"/>
      <c r="AY30" s="29"/>
      <c r="AZ30" s="29"/>
    </row>
    <row r="31" spans="1:53" ht="22.5" hidden="1" outlineLevel="1" x14ac:dyDescent="0.25">
      <c r="A31" s="21" t="str">
        <f t="shared" si="6"/>
        <v>1</v>
      </c>
      <c r="C31" s="31"/>
      <c r="D31" s="31" t="s">
        <v>104</v>
      </c>
      <c r="L31" s="32" t="s">
        <v>105</v>
      </c>
      <c r="M31" s="54" t="s">
        <v>106</v>
      </c>
      <c r="N31" s="34" t="s">
        <v>16</v>
      </c>
      <c r="O31" s="44"/>
      <c r="P31" s="49"/>
      <c r="Q31" s="49"/>
      <c r="R31" s="45">
        <v>0</v>
      </c>
      <c r="S31" s="44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29"/>
      <c r="AY31" s="29"/>
      <c r="AZ31" s="29"/>
    </row>
    <row r="32" spans="1:53" ht="22.5" hidden="1" outlineLevel="1" x14ac:dyDescent="0.25">
      <c r="A32" s="21" t="str">
        <f t="shared" si="6"/>
        <v>1</v>
      </c>
      <c r="C32" s="31"/>
      <c r="D32" s="31" t="s">
        <v>107</v>
      </c>
      <c r="L32" s="32" t="s">
        <v>108</v>
      </c>
      <c r="M32" s="54" t="s">
        <v>109</v>
      </c>
      <c r="N32" s="34" t="s">
        <v>16</v>
      </c>
      <c r="O32" s="44"/>
      <c r="P32" s="49"/>
      <c r="Q32" s="49"/>
      <c r="R32" s="45">
        <v>0</v>
      </c>
      <c r="S32" s="44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29"/>
      <c r="AY32" s="29"/>
      <c r="AZ32" s="29"/>
    </row>
    <row r="33" spans="1:52" ht="45" hidden="1" outlineLevel="1" x14ac:dyDescent="0.25">
      <c r="A33" s="21" t="str">
        <f t="shared" si="6"/>
        <v>1</v>
      </c>
      <c r="C33" s="31"/>
      <c r="D33" s="31" t="s">
        <v>110</v>
      </c>
      <c r="L33" s="32" t="s">
        <v>111</v>
      </c>
      <c r="M33" s="50" t="s">
        <v>112</v>
      </c>
      <c r="N33" s="34" t="s">
        <v>16</v>
      </c>
      <c r="O33" s="44"/>
      <c r="P33" s="49">
        <v>139.27099999999999</v>
      </c>
      <c r="Q33" s="49"/>
      <c r="R33" s="45">
        <v>-139.27099999999999</v>
      </c>
      <c r="S33" s="44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29"/>
      <c r="AY33" s="29"/>
      <c r="AZ33" s="29"/>
    </row>
    <row r="34" spans="1:52" ht="11.25" hidden="1" outlineLevel="1" x14ac:dyDescent="0.25">
      <c r="A34" s="21" t="str">
        <f t="shared" si="6"/>
        <v>1</v>
      </c>
      <c r="C34" s="31"/>
      <c r="D34" s="31" t="s">
        <v>113</v>
      </c>
      <c r="L34" s="32" t="s">
        <v>114</v>
      </c>
      <c r="M34" s="50" t="s">
        <v>115</v>
      </c>
      <c r="N34" s="34" t="s">
        <v>16</v>
      </c>
      <c r="O34" s="44"/>
      <c r="P34" s="49"/>
      <c r="Q34" s="49"/>
      <c r="R34" s="45">
        <v>0</v>
      </c>
      <c r="S34" s="44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29"/>
      <c r="AY34" s="29"/>
      <c r="AZ34" s="29"/>
    </row>
    <row r="35" spans="1:52" ht="11.25" hidden="1" outlineLevel="1" x14ac:dyDescent="0.25">
      <c r="A35" s="21" t="str">
        <f t="shared" si="6"/>
        <v>1</v>
      </c>
      <c r="C35" s="31"/>
      <c r="D35" s="31" t="s">
        <v>116</v>
      </c>
      <c r="L35" s="32" t="s">
        <v>117</v>
      </c>
      <c r="M35" s="50" t="s">
        <v>118</v>
      </c>
      <c r="N35" s="34" t="s">
        <v>16</v>
      </c>
      <c r="O35" s="44"/>
      <c r="P35" s="49">
        <v>13.49</v>
      </c>
      <c r="Q35" s="49">
        <v>5619.210453130263</v>
      </c>
      <c r="R35" s="45">
        <v>5605.7204531302632</v>
      </c>
      <c r="S35" s="44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29"/>
      <c r="AY35" s="29"/>
      <c r="AZ35" s="29"/>
    </row>
    <row r="36" spans="1:52" s="55" customFormat="1" ht="11.25" hidden="1" outlineLevel="1" x14ac:dyDescent="0.25">
      <c r="A36" s="21" t="str">
        <f t="shared" si="6"/>
        <v>1</v>
      </c>
      <c r="C36" s="31"/>
      <c r="D36" s="31" t="s">
        <v>119</v>
      </c>
      <c r="L36" s="56" t="s">
        <v>5</v>
      </c>
      <c r="M36" s="57" t="s">
        <v>120</v>
      </c>
      <c r="N36" s="58" t="s">
        <v>16</v>
      </c>
      <c r="O36" s="39"/>
      <c r="P36" s="59">
        <v>0</v>
      </c>
      <c r="Q36" s="59">
        <v>0</v>
      </c>
      <c r="R36" s="28">
        <v>0</v>
      </c>
      <c r="S36" s="39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1"/>
      <c r="AY36" s="41"/>
      <c r="AZ36" s="41"/>
    </row>
    <row r="37" spans="1:52" ht="22.5" hidden="1" outlineLevel="1" x14ac:dyDescent="0.25">
      <c r="A37" s="21" t="str">
        <f t="shared" si="6"/>
        <v>1</v>
      </c>
      <c r="C37" s="31"/>
      <c r="D37" s="31" t="s">
        <v>121</v>
      </c>
      <c r="L37" s="32" t="s">
        <v>11</v>
      </c>
      <c r="M37" s="42" t="s">
        <v>122</v>
      </c>
      <c r="N37" s="34" t="s">
        <v>16</v>
      </c>
      <c r="O37" s="44"/>
      <c r="P37" s="49"/>
      <c r="Q37" s="49"/>
      <c r="R37" s="45">
        <v>0</v>
      </c>
      <c r="S37" s="44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29"/>
      <c r="AY37" s="29"/>
      <c r="AZ37" s="29"/>
    </row>
    <row r="38" spans="1:52" ht="45" hidden="1" outlineLevel="1" x14ac:dyDescent="0.25">
      <c r="A38" s="21" t="str">
        <f t="shared" si="6"/>
        <v>1</v>
      </c>
      <c r="C38" s="31"/>
      <c r="D38" s="31" t="s">
        <v>123</v>
      </c>
      <c r="L38" s="32" t="s">
        <v>12</v>
      </c>
      <c r="M38" s="53" t="s">
        <v>124</v>
      </c>
      <c r="N38" s="34" t="s">
        <v>16</v>
      </c>
      <c r="O38" s="44"/>
      <c r="P38" s="49"/>
      <c r="Q38" s="49"/>
      <c r="R38" s="45">
        <v>0</v>
      </c>
      <c r="S38" s="44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29"/>
      <c r="AY38" s="29"/>
      <c r="AZ38" s="29"/>
    </row>
    <row r="39" spans="1:52" ht="30" hidden="1" outlineLevel="1" x14ac:dyDescent="0.25">
      <c r="A39" s="21" t="str">
        <f t="shared" si="6"/>
        <v>1</v>
      </c>
      <c r="C39" s="31"/>
      <c r="D39" s="31" t="s">
        <v>125</v>
      </c>
      <c r="L39" s="32" t="s">
        <v>126</v>
      </c>
      <c r="M39" s="53" t="s">
        <v>127</v>
      </c>
      <c r="N39" s="34" t="s">
        <v>16</v>
      </c>
      <c r="O39" s="44"/>
      <c r="P39" s="49"/>
      <c r="Q39" s="49"/>
      <c r="R39" s="45">
        <v>0</v>
      </c>
      <c r="S39" s="44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29"/>
      <c r="AY39" s="29"/>
      <c r="AZ39" s="29"/>
    </row>
    <row r="40" spans="1:52" ht="15" hidden="1" outlineLevel="1" x14ac:dyDescent="0.25">
      <c r="A40" s="21" t="str">
        <f t="shared" si="6"/>
        <v>1</v>
      </c>
      <c r="B40" s="60" t="s">
        <v>128</v>
      </c>
      <c r="C40" s="31"/>
      <c r="D40" s="31" t="s">
        <v>129</v>
      </c>
      <c r="L40" s="32" t="s">
        <v>130</v>
      </c>
      <c r="M40" s="47" t="s">
        <v>131</v>
      </c>
      <c r="N40" s="34" t="s">
        <v>16</v>
      </c>
      <c r="O40" s="44"/>
      <c r="P40" s="49"/>
      <c r="Q40" s="49"/>
      <c r="R40" s="45">
        <v>0</v>
      </c>
      <c r="S40" s="44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29"/>
      <c r="AY40" s="29"/>
      <c r="AZ40" s="29"/>
    </row>
    <row r="41" spans="1:52" ht="30" hidden="1" outlineLevel="1" x14ac:dyDescent="0.25">
      <c r="A41" s="21" t="str">
        <f t="shared" si="6"/>
        <v>1</v>
      </c>
      <c r="B41" s="60" t="s">
        <v>132</v>
      </c>
      <c r="C41" s="31"/>
      <c r="D41" s="31" t="s">
        <v>133</v>
      </c>
      <c r="L41" s="32" t="s">
        <v>134</v>
      </c>
      <c r="M41" s="47" t="s">
        <v>135</v>
      </c>
      <c r="N41" s="34" t="s">
        <v>16</v>
      </c>
      <c r="O41" s="44"/>
      <c r="P41" s="49">
        <v>0</v>
      </c>
      <c r="Q41" s="49">
        <v>0</v>
      </c>
      <c r="R41" s="45">
        <v>0</v>
      </c>
      <c r="S41" s="44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29"/>
      <c r="AY41" s="29"/>
      <c r="AZ41" s="29"/>
    </row>
    <row r="42" spans="1:52" s="55" customFormat="1" ht="56.25" hidden="1" outlineLevel="1" x14ac:dyDescent="0.25">
      <c r="A42" s="21" t="str">
        <f t="shared" si="6"/>
        <v>1</v>
      </c>
      <c r="C42" s="31"/>
      <c r="D42" s="31" t="s">
        <v>136</v>
      </c>
      <c r="L42" s="56" t="s">
        <v>6</v>
      </c>
      <c r="M42" s="57" t="s">
        <v>14</v>
      </c>
      <c r="N42" s="58" t="s">
        <v>16</v>
      </c>
      <c r="O42" s="39"/>
      <c r="P42" s="59">
        <v>2483.3395</v>
      </c>
      <c r="Q42" s="59">
        <v>0</v>
      </c>
      <c r="R42" s="28">
        <v>-2483.3395</v>
      </c>
      <c r="S42" s="39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1" t="s">
        <v>137</v>
      </c>
      <c r="AY42" s="41"/>
      <c r="AZ42" s="41"/>
    </row>
    <row r="43" spans="1:52" ht="22.5" hidden="1" outlineLevel="1" x14ac:dyDescent="0.25">
      <c r="A43" s="21" t="str">
        <f t="shared" si="6"/>
        <v>1</v>
      </c>
      <c r="B43" s="1" t="s">
        <v>138</v>
      </c>
      <c r="C43" s="31"/>
      <c r="D43" s="31" t="s">
        <v>139</v>
      </c>
      <c r="L43" s="32" t="s">
        <v>140</v>
      </c>
      <c r="M43" s="42" t="s">
        <v>141</v>
      </c>
      <c r="N43" s="34" t="s">
        <v>16</v>
      </c>
      <c r="O43" s="44"/>
      <c r="P43" s="51">
        <v>87.668999999999997</v>
      </c>
      <c r="Q43" s="51">
        <v>0</v>
      </c>
      <c r="R43" s="45">
        <v>-87.668999999999997</v>
      </c>
      <c r="S43" s="44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29"/>
      <c r="AY43" s="29"/>
      <c r="AZ43" s="29"/>
    </row>
    <row r="44" spans="1:52" ht="15" hidden="1" outlineLevel="1" x14ac:dyDescent="0.25">
      <c r="A44" s="21" t="str">
        <f t="shared" si="6"/>
        <v>1</v>
      </c>
      <c r="B44" s="1" t="s">
        <v>142</v>
      </c>
      <c r="C44" s="31"/>
      <c r="D44" s="31" t="s">
        <v>143</v>
      </c>
      <c r="L44" s="32" t="s">
        <v>144</v>
      </c>
      <c r="M44" s="47" t="s">
        <v>145</v>
      </c>
      <c r="N44" s="34" t="s">
        <v>16</v>
      </c>
      <c r="O44" s="44"/>
      <c r="P44" s="49">
        <v>76.120999999999995</v>
      </c>
      <c r="Q44" s="49"/>
      <c r="R44" s="45">
        <v>-76.120999999999995</v>
      </c>
      <c r="S44" s="44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29"/>
      <c r="AY44" s="29"/>
      <c r="AZ44" s="29"/>
    </row>
    <row r="45" spans="1:52" ht="15" hidden="1" outlineLevel="1" x14ac:dyDescent="0.25">
      <c r="A45" s="21" t="str">
        <f t="shared" si="6"/>
        <v>1</v>
      </c>
      <c r="B45" s="1" t="s">
        <v>146</v>
      </c>
      <c r="C45" s="31"/>
      <c r="D45" s="31" t="s">
        <v>147</v>
      </c>
      <c r="L45" s="32" t="s">
        <v>148</v>
      </c>
      <c r="M45" s="47" t="s">
        <v>149</v>
      </c>
      <c r="N45" s="34" t="s">
        <v>16</v>
      </c>
      <c r="O45" s="44"/>
      <c r="P45" s="49"/>
      <c r="Q45" s="49"/>
      <c r="R45" s="45">
        <v>0</v>
      </c>
      <c r="S45" s="44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29"/>
      <c r="AY45" s="29"/>
      <c r="AZ45" s="29"/>
    </row>
    <row r="46" spans="1:52" ht="15" hidden="1" outlineLevel="1" x14ac:dyDescent="0.25">
      <c r="A46" s="21" t="str">
        <f t="shared" si="6"/>
        <v>1</v>
      </c>
      <c r="B46" s="1" t="s">
        <v>150</v>
      </c>
      <c r="C46" s="31"/>
      <c r="D46" s="31" t="s">
        <v>151</v>
      </c>
      <c r="L46" s="32" t="s">
        <v>152</v>
      </c>
      <c r="M46" s="47" t="s">
        <v>153</v>
      </c>
      <c r="N46" s="34" t="s">
        <v>16</v>
      </c>
      <c r="O46" s="44"/>
      <c r="P46" s="49"/>
      <c r="Q46" s="49"/>
      <c r="R46" s="45">
        <v>0</v>
      </c>
      <c r="S46" s="44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29"/>
      <c r="AY46" s="29"/>
      <c r="AZ46" s="29"/>
    </row>
    <row r="47" spans="1:52" ht="15" hidden="1" outlineLevel="1" x14ac:dyDescent="0.25">
      <c r="A47" s="21" t="str">
        <f t="shared" si="6"/>
        <v>1</v>
      </c>
      <c r="B47" s="1" t="s">
        <v>154</v>
      </c>
      <c r="C47" s="31"/>
      <c r="D47" s="31" t="s">
        <v>155</v>
      </c>
      <c r="L47" s="32" t="s">
        <v>156</v>
      </c>
      <c r="M47" s="47" t="s">
        <v>157</v>
      </c>
      <c r="N47" s="34" t="s">
        <v>16</v>
      </c>
      <c r="O47" s="44"/>
      <c r="P47" s="49"/>
      <c r="Q47" s="49"/>
      <c r="R47" s="45">
        <v>0</v>
      </c>
      <c r="S47" s="44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29"/>
      <c r="AY47" s="29"/>
      <c r="AZ47" s="29"/>
    </row>
    <row r="48" spans="1:52" ht="15" hidden="1" outlineLevel="1" x14ac:dyDescent="0.25">
      <c r="A48" s="21" t="str">
        <f t="shared" si="6"/>
        <v>1</v>
      </c>
      <c r="B48" s="1" t="s">
        <v>158</v>
      </c>
      <c r="C48" s="31"/>
      <c r="D48" s="31" t="s">
        <v>159</v>
      </c>
      <c r="L48" s="32" t="s">
        <v>160</v>
      </c>
      <c r="M48" s="47" t="s">
        <v>161</v>
      </c>
      <c r="N48" s="34" t="s">
        <v>16</v>
      </c>
      <c r="O48" s="44"/>
      <c r="P48" s="49"/>
      <c r="Q48" s="49"/>
      <c r="R48" s="45">
        <v>0</v>
      </c>
      <c r="S48" s="44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29"/>
      <c r="AY48" s="29"/>
      <c r="AZ48" s="29"/>
    </row>
    <row r="49" spans="1:52" ht="15" hidden="1" outlineLevel="1" x14ac:dyDescent="0.25">
      <c r="A49" s="21" t="str">
        <f t="shared" si="6"/>
        <v>1</v>
      </c>
      <c r="B49" s="1" t="s">
        <v>162</v>
      </c>
      <c r="C49" s="31"/>
      <c r="D49" s="31" t="s">
        <v>163</v>
      </c>
      <c r="L49" s="32" t="s">
        <v>164</v>
      </c>
      <c r="M49" s="47" t="s">
        <v>165</v>
      </c>
      <c r="N49" s="34" t="s">
        <v>16</v>
      </c>
      <c r="O49" s="44"/>
      <c r="P49" s="49">
        <v>11.548</v>
      </c>
      <c r="Q49" s="49"/>
      <c r="R49" s="45">
        <v>-11.548</v>
      </c>
      <c r="S49" s="44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29"/>
      <c r="AY49" s="29"/>
      <c r="AZ49" s="29"/>
    </row>
    <row r="50" spans="1:52" ht="15" hidden="1" outlineLevel="1" x14ac:dyDescent="0.25">
      <c r="A50" s="21" t="str">
        <f t="shared" si="6"/>
        <v>1</v>
      </c>
      <c r="B50" s="1" t="s">
        <v>166</v>
      </c>
      <c r="C50" s="31"/>
      <c r="D50" s="31" t="s">
        <v>167</v>
      </c>
      <c r="L50" s="32" t="s">
        <v>168</v>
      </c>
      <c r="M50" s="47" t="s">
        <v>169</v>
      </c>
      <c r="N50" s="34" t="s">
        <v>16</v>
      </c>
      <c r="O50" s="44"/>
      <c r="P50" s="49"/>
      <c r="Q50" s="49"/>
      <c r="R50" s="45">
        <v>0</v>
      </c>
      <c r="S50" s="44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29"/>
      <c r="AY50" s="29"/>
      <c r="AZ50" s="29"/>
    </row>
    <row r="51" spans="1:52" ht="22.5" hidden="1" outlineLevel="1" x14ac:dyDescent="0.25">
      <c r="A51" s="21" t="str">
        <f t="shared" si="6"/>
        <v>1</v>
      </c>
      <c r="C51" s="31"/>
      <c r="D51" s="31" t="s">
        <v>170</v>
      </c>
      <c r="L51" s="32" t="s">
        <v>171</v>
      </c>
      <c r="M51" s="42" t="s">
        <v>172</v>
      </c>
      <c r="N51" s="34" t="s">
        <v>16</v>
      </c>
      <c r="O51" s="44"/>
      <c r="P51" s="51">
        <v>1548.4235000000001</v>
      </c>
      <c r="Q51" s="51">
        <v>0</v>
      </c>
      <c r="R51" s="45">
        <v>-1548.4235000000001</v>
      </c>
      <c r="S51" s="44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29"/>
      <c r="AY51" s="29"/>
      <c r="AZ51" s="29"/>
    </row>
    <row r="52" spans="1:52" ht="30" hidden="1" outlineLevel="1" x14ac:dyDescent="0.25">
      <c r="A52" s="21" t="str">
        <f t="shared" si="6"/>
        <v>1</v>
      </c>
      <c r="B52" s="1" t="s">
        <v>173</v>
      </c>
      <c r="C52" s="31"/>
      <c r="D52" s="31" t="s">
        <v>174</v>
      </c>
      <c r="L52" s="32" t="s">
        <v>175</v>
      </c>
      <c r="M52" s="47" t="s">
        <v>176</v>
      </c>
      <c r="N52" s="61" t="s">
        <v>16</v>
      </c>
      <c r="O52" s="44"/>
      <c r="P52" s="49">
        <v>1256.0325</v>
      </c>
      <c r="Q52" s="49"/>
      <c r="R52" s="45">
        <v>-1256.0325</v>
      </c>
      <c r="S52" s="44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29"/>
      <c r="AY52" s="29"/>
      <c r="AZ52" s="29"/>
    </row>
    <row r="53" spans="1:52" ht="30" hidden="1" outlineLevel="1" x14ac:dyDescent="0.25">
      <c r="A53" s="21" t="str">
        <f t="shared" si="6"/>
        <v>1</v>
      </c>
      <c r="B53" s="1" t="s">
        <v>177</v>
      </c>
      <c r="C53" s="31"/>
      <c r="D53" s="31" t="s">
        <v>178</v>
      </c>
      <c r="L53" s="32" t="s">
        <v>179</v>
      </c>
      <c r="M53" s="47" t="s">
        <v>180</v>
      </c>
      <c r="N53" s="34" t="s">
        <v>16</v>
      </c>
      <c r="O53" s="44"/>
      <c r="P53" s="49">
        <v>292.39100000000002</v>
      </c>
      <c r="Q53" s="49">
        <v>0</v>
      </c>
      <c r="R53" s="45">
        <v>-292.39100000000002</v>
      </c>
      <c r="S53" s="44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29"/>
      <c r="AY53" s="29"/>
      <c r="AZ53" s="29"/>
    </row>
    <row r="54" spans="1:52" ht="33.75" hidden="1" outlineLevel="1" x14ac:dyDescent="0.25">
      <c r="A54" s="21" t="str">
        <f t="shared" si="6"/>
        <v>1</v>
      </c>
      <c r="B54" s="60" t="s">
        <v>181</v>
      </c>
      <c r="C54" s="31"/>
      <c r="D54" s="31" t="s">
        <v>182</v>
      </c>
      <c r="L54" s="32" t="s">
        <v>183</v>
      </c>
      <c r="M54" s="42" t="s">
        <v>184</v>
      </c>
      <c r="N54" s="34" t="s">
        <v>16</v>
      </c>
      <c r="O54" s="44"/>
      <c r="P54" s="49">
        <v>500.714</v>
      </c>
      <c r="Q54" s="49"/>
      <c r="R54" s="45">
        <v>-500.714</v>
      </c>
      <c r="S54" s="44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29"/>
      <c r="AY54" s="29"/>
      <c r="AZ54" s="29"/>
    </row>
    <row r="55" spans="1:52" ht="15" hidden="1" outlineLevel="1" x14ac:dyDescent="0.25">
      <c r="A55" s="21" t="str">
        <f t="shared" si="6"/>
        <v>1</v>
      </c>
      <c r="B55" s="60" t="s">
        <v>185</v>
      </c>
      <c r="C55" s="31"/>
      <c r="D55" s="31" t="s">
        <v>186</v>
      </c>
      <c r="L55" s="32" t="s">
        <v>187</v>
      </c>
      <c r="M55" s="42" t="s">
        <v>188</v>
      </c>
      <c r="N55" s="34" t="s">
        <v>16</v>
      </c>
      <c r="O55" s="44"/>
      <c r="P55" s="49"/>
      <c r="Q55" s="49"/>
      <c r="R55" s="45">
        <v>0</v>
      </c>
      <c r="S55" s="44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29"/>
      <c r="AY55" s="29"/>
      <c r="AZ55" s="29"/>
    </row>
    <row r="56" spans="1:52" ht="15" hidden="1" outlineLevel="1" x14ac:dyDescent="0.25">
      <c r="A56" s="21" t="str">
        <f t="shared" si="6"/>
        <v>1</v>
      </c>
      <c r="B56" s="60" t="s">
        <v>189</v>
      </c>
      <c r="C56" s="31"/>
      <c r="D56" s="31" t="s">
        <v>190</v>
      </c>
      <c r="L56" s="32" t="s">
        <v>191</v>
      </c>
      <c r="M56" s="42" t="s">
        <v>192</v>
      </c>
      <c r="N56" s="34" t="s">
        <v>16</v>
      </c>
      <c r="O56" s="44"/>
      <c r="P56" s="49"/>
      <c r="Q56" s="49"/>
      <c r="R56" s="45">
        <v>0</v>
      </c>
      <c r="S56" s="44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29"/>
      <c r="AY56" s="29"/>
      <c r="AZ56" s="29"/>
    </row>
    <row r="57" spans="1:52" ht="15" hidden="1" outlineLevel="1" x14ac:dyDescent="0.25">
      <c r="A57" s="21" t="str">
        <f t="shared" si="6"/>
        <v>1</v>
      </c>
      <c r="B57" s="60" t="s">
        <v>193</v>
      </c>
      <c r="C57" s="31"/>
      <c r="D57" s="31" t="s">
        <v>194</v>
      </c>
      <c r="L57" s="32" t="s">
        <v>195</v>
      </c>
      <c r="M57" s="42" t="s">
        <v>196</v>
      </c>
      <c r="N57" s="34" t="s">
        <v>16</v>
      </c>
      <c r="O57" s="44"/>
      <c r="P57" s="49"/>
      <c r="Q57" s="49"/>
      <c r="R57" s="45">
        <v>0</v>
      </c>
      <c r="S57" s="44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29"/>
      <c r="AY57" s="29"/>
      <c r="AZ57" s="29"/>
    </row>
    <row r="58" spans="1:52" ht="15" hidden="1" outlineLevel="1" x14ac:dyDescent="0.25">
      <c r="A58" s="21" t="str">
        <f t="shared" si="6"/>
        <v>1</v>
      </c>
      <c r="B58" s="60" t="s">
        <v>197</v>
      </c>
      <c r="C58" s="31"/>
      <c r="D58" s="31" t="s">
        <v>198</v>
      </c>
      <c r="L58" s="32" t="s">
        <v>199</v>
      </c>
      <c r="M58" s="42" t="s">
        <v>200</v>
      </c>
      <c r="N58" s="34" t="s">
        <v>16</v>
      </c>
      <c r="O58" s="44"/>
      <c r="P58" s="45">
        <v>346.53300000000002</v>
      </c>
      <c r="Q58" s="45">
        <v>0</v>
      </c>
      <c r="R58" s="45">
        <v>-346.53300000000002</v>
      </c>
      <c r="S58" s="44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29"/>
      <c r="AY58" s="29"/>
      <c r="AZ58" s="29"/>
    </row>
    <row r="59" spans="1:52" ht="15" hidden="1" outlineLevel="1" x14ac:dyDescent="0.25">
      <c r="A59" s="21" t="str">
        <f t="shared" si="6"/>
        <v>1</v>
      </c>
      <c r="B59" s="60" t="s">
        <v>201</v>
      </c>
      <c r="C59" s="31"/>
      <c r="D59" s="31" t="s">
        <v>202</v>
      </c>
      <c r="L59" s="32" t="s">
        <v>203</v>
      </c>
      <c r="M59" s="50" t="s">
        <v>204</v>
      </c>
      <c r="N59" s="34" t="s">
        <v>16</v>
      </c>
      <c r="O59" s="44"/>
      <c r="P59" s="49">
        <v>26</v>
      </c>
      <c r="Q59" s="49"/>
      <c r="R59" s="45">
        <v>-26</v>
      </c>
      <c r="S59" s="44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29"/>
      <c r="AY59" s="29"/>
      <c r="AZ59" s="29"/>
    </row>
    <row r="60" spans="1:52" ht="15" hidden="1" outlineLevel="1" x14ac:dyDescent="0.25">
      <c r="A60" s="21" t="str">
        <f t="shared" si="6"/>
        <v>1</v>
      </c>
      <c r="B60" s="60" t="s">
        <v>205</v>
      </c>
      <c r="C60" s="31"/>
      <c r="D60" s="31" t="s">
        <v>206</v>
      </c>
      <c r="L60" s="32" t="s">
        <v>207</v>
      </c>
      <c r="M60" s="50" t="s">
        <v>208</v>
      </c>
      <c r="N60" s="34" t="s">
        <v>16</v>
      </c>
      <c r="O60" s="44"/>
      <c r="P60" s="49"/>
      <c r="Q60" s="49"/>
      <c r="R60" s="45">
        <v>0</v>
      </c>
      <c r="S60" s="44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29"/>
      <c r="AY60" s="29"/>
      <c r="AZ60" s="29"/>
    </row>
    <row r="61" spans="1:52" ht="15" hidden="1" outlineLevel="1" x14ac:dyDescent="0.25">
      <c r="A61" s="21" t="str">
        <f t="shared" si="6"/>
        <v>1</v>
      </c>
      <c r="B61" s="1" t="s">
        <v>209</v>
      </c>
      <c r="C61" s="31"/>
      <c r="D61" s="31" t="s">
        <v>210</v>
      </c>
      <c r="L61" s="32" t="s">
        <v>211</v>
      </c>
      <c r="M61" s="47" t="s">
        <v>212</v>
      </c>
      <c r="N61" s="34" t="s">
        <v>16</v>
      </c>
      <c r="O61" s="44"/>
      <c r="P61" s="49">
        <v>320.53300000000002</v>
      </c>
      <c r="Q61" s="49"/>
      <c r="R61" s="45">
        <v>-320.53300000000002</v>
      </c>
      <c r="S61" s="44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29"/>
      <c r="AY61" s="29"/>
      <c r="AZ61" s="29"/>
    </row>
    <row r="62" spans="1:52" ht="22.5" hidden="1" outlineLevel="1" x14ac:dyDescent="0.25">
      <c r="A62" s="21" t="str">
        <f t="shared" si="6"/>
        <v>1</v>
      </c>
      <c r="C62" s="31"/>
      <c r="D62" s="31" t="s">
        <v>213</v>
      </c>
      <c r="L62" s="32" t="s">
        <v>7</v>
      </c>
      <c r="M62" s="33" t="s">
        <v>214</v>
      </c>
      <c r="N62" s="34" t="s">
        <v>16</v>
      </c>
      <c r="O62" s="44"/>
      <c r="P62" s="49"/>
      <c r="Q62" s="49"/>
      <c r="R62" s="45">
        <v>0</v>
      </c>
      <c r="S62" s="44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29"/>
      <c r="AY62" s="29"/>
      <c r="AZ62" s="29"/>
    </row>
    <row r="63" spans="1:52" ht="11.25" hidden="1" outlineLevel="1" x14ac:dyDescent="0.25">
      <c r="A63" s="21" t="str">
        <f t="shared" si="6"/>
        <v>1</v>
      </c>
      <c r="C63" s="31"/>
      <c r="D63" s="31" t="s">
        <v>215</v>
      </c>
      <c r="L63" s="32" t="s">
        <v>9</v>
      </c>
      <c r="M63" s="33" t="s">
        <v>216</v>
      </c>
      <c r="N63" s="34" t="s">
        <v>16</v>
      </c>
      <c r="O63" s="44"/>
      <c r="P63" s="49"/>
      <c r="Q63" s="49"/>
      <c r="R63" s="45">
        <v>0</v>
      </c>
      <c r="S63" s="44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29"/>
      <c r="AY63" s="29"/>
      <c r="AZ63" s="29"/>
    </row>
    <row r="64" spans="1:52" s="55" customFormat="1" ht="11.25" hidden="1" outlineLevel="1" x14ac:dyDescent="0.25">
      <c r="A64" s="21" t="str">
        <f t="shared" si="6"/>
        <v>1</v>
      </c>
      <c r="C64" s="31"/>
      <c r="D64" s="31" t="s">
        <v>217</v>
      </c>
      <c r="L64" s="56" t="s">
        <v>13</v>
      </c>
      <c r="M64" s="57" t="s">
        <v>218</v>
      </c>
      <c r="N64" s="58" t="s">
        <v>16</v>
      </c>
      <c r="O64" s="39"/>
      <c r="P64" s="59">
        <v>0</v>
      </c>
      <c r="Q64" s="59">
        <v>0</v>
      </c>
      <c r="R64" s="28">
        <v>0</v>
      </c>
      <c r="S64" s="39"/>
      <c r="T64" s="37"/>
      <c r="U64" s="40"/>
      <c r="V64" s="40"/>
      <c r="W64" s="40"/>
      <c r="X64" s="40"/>
      <c r="Y64" s="40"/>
      <c r="Z64" s="40"/>
      <c r="AA64" s="40"/>
      <c r="AB64" s="40"/>
      <c r="AC64" s="40"/>
      <c r="AD64" s="37"/>
      <c r="AE64" s="37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1"/>
      <c r="AY64" s="41"/>
      <c r="AZ64" s="41"/>
    </row>
    <row r="65" spans="1:53" ht="11.25" hidden="1" outlineLevel="1" x14ac:dyDescent="0.25">
      <c r="A65" s="21" t="str">
        <f t="shared" si="6"/>
        <v>1</v>
      </c>
      <c r="L65" s="32" t="s">
        <v>219</v>
      </c>
      <c r="M65" s="33"/>
      <c r="N65" s="34"/>
      <c r="O65" s="44"/>
      <c r="P65" s="37"/>
      <c r="Q65" s="37"/>
      <c r="R65" s="37"/>
      <c r="S65" s="44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62"/>
      <c r="AY65" s="62"/>
      <c r="AZ65" s="62"/>
    </row>
    <row r="66" spans="1:53" ht="15" hidden="1" outlineLevel="1" x14ac:dyDescent="0.25">
      <c r="A66" s="21" t="str">
        <f t="shared" si="6"/>
        <v>1</v>
      </c>
      <c r="B66" s="63"/>
      <c r="D66" s="1" t="str">
        <f>A66&amp;"pIns1"</f>
        <v>1pIns1</v>
      </c>
      <c r="L66" s="64"/>
      <c r="M66" s="65" t="s">
        <v>220</v>
      </c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7"/>
    </row>
    <row r="67" spans="1:53" s="55" customFormat="1" ht="11.25" outlineLevel="1" x14ac:dyDescent="0.25">
      <c r="A67" s="21" t="str">
        <f t="shared" si="6"/>
        <v>1</v>
      </c>
      <c r="C67" s="1"/>
      <c r="D67" s="1" t="s">
        <v>221</v>
      </c>
      <c r="L67" s="24" t="s">
        <v>15</v>
      </c>
      <c r="M67" s="25" t="s">
        <v>18</v>
      </c>
      <c r="N67" s="26" t="s">
        <v>16</v>
      </c>
      <c r="O67" s="59">
        <v>117.77999999999999</v>
      </c>
      <c r="P67" s="59">
        <v>120.27500000000001</v>
      </c>
      <c r="Q67" s="59">
        <v>116.807</v>
      </c>
      <c r="R67" s="28">
        <v>-3.4680000000000035</v>
      </c>
      <c r="S67" s="59">
        <v>121.02</v>
      </c>
      <c r="T67" s="59">
        <v>129.488</v>
      </c>
      <c r="U67" s="59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39.480000000000004</v>
      </c>
      <c r="AE67" s="59">
        <f t="shared" ref="AE67:AM67" si="7">AE68+AE79+AE80++AE90+AE91+AE92+AE94+AE95+AE96+AE97+AE100</f>
        <v>0</v>
      </c>
      <c r="AF67" s="59">
        <f t="shared" si="7"/>
        <v>0</v>
      </c>
      <c r="AG67" s="59">
        <f t="shared" si="7"/>
        <v>0</v>
      </c>
      <c r="AH67" s="59">
        <f t="shared" si="7"/>
        <v>0</v>
      </c>
      <c r="AI67" s="59">
        <f t="shared" si="7"/>
        <v>0</v>
      </c>
      <c r="AJ67" s="59">
        <f t="shared" si="7"/>
        <v>0</v>
      </c>
      <c r="AK67" s="59">
        <f t="shared" si="7"/>
        <v>0</v>
      </c>
      <c r="AL67" s="59">
        <f t="shared" si="7"/>
        <v>0</v>
      </c>
      <c r="AM67" s="59">
        <f t="shared" si="7"/>
        <v>0</v>
      </c>
      <c r="AN67" s="28">
        <f>IF(S67=0,0,(AD67-S67)/S67*100)</f>
        <v>-67.37729300941993</v>
      </c>
      <c r="AO67" s="28">
        <f t="shared" ref="AO67:AW82" si="8">IF(AD67=0,0,(AE67-AD67)/AD67*100)</f>
        <v>-100</v>
      </c>
      <c r="AP67" s="28">
        <f t="shared" si="8"/>
        <v>0</v>
      </c>
      <c r="AQ67" s="28">
        <f t="shared" si="8"/>
        <v>0</v>
      </c>
      <c r="AR67" s="28">
        <f t="shared" si="8"/>
        <v>0</v>
      </c>
      <c r="AS67" s="28">
        <f t="shared" si="8"/>
        <v>0</v>
      </c>
      <c r="AT67" s="28">
        <f t="shared" si="8"/>
        <v>0</v>
      </c>
      <c r="AU67" s="28">
        <f t="shared" si="8"/>
        <v>0</v>
      </c>
      <c r="AV67" s="28">
        <f t="shared" si="8"/>
        <v>0</v>
      </c>
      <c r="AW67" s="28">
        <f t="shared" si="8"/>
        <v>0</v>
      </c>
      <c r="AX67" s="29"/>
      <c r="AY67" s="29"/>
      <c r="AZ67" s="29"/>
      <c r="BA67" s="30"/>
    </row>
    <row r="68" spans="1:53" s="55" customFormat="1" ht="22.5" hidden="1" outlineLevel="1" x14ac:dyDescent="0.25">
      <c r="A68" s="21" t="str">
        <f t="shared" si="6"/>
        <v>1</v>
      </c>
      <c r="C68" s="1"/>
      <c r="D68" s="1" t="s">
        <v>222</v>
      </c>
      <c r="L68" s="56" t="s">
        <v>223</v>
      </c>
      <c r="M68" s="57" t="s">
        <v>19</v>
      </c>
      <c r="N68" s="58" t="s">
        <v>16</v>
      </c>
      <c r="O68" s="59">
        <v>0</v>
      </c>
      <c r="P68" s="59">
        <v>0</v>
      </c>
      <c r="Q68" s="59">
        <v>0</v>
      </c>
      <c r="R68" s="28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f t="shared" ref="AE68:AM68" si="9">SUM(AE69:AE78)</f>
        <v>0</v>
      </c>
      <c r="AF68" s="59">
        <f t="shared" si="9"/>
        <v>0</v>
      </c>
      <c r="AG68" s="59">
        <f t="shared" si="9"/>
        <v>0</v>
      </c>
      <c r="AH68" s="59">
        <f t="shared" si="9"/>
        <v>0</v>
      </c>
      <c r="AI68" s="59">
        <f t="shared" si="9"/>
        <v>0</v>
      </c>
      <c r="AJ68" s="59">
        <f t="shared" si="9"/>
        <v>0</v>
      </c>
      <c r="AK68" s="59">
        <f t="shared" si="9"/>
        <v>0</v>
      </c>
      <c r="AL68" s="59">
        <f t="shared" si="9"/>
        <v>0</v>
      </c>
      <c r="AM68" s="59">
        <f t="shared" si="9"/>
        <v>0</v>
      </c>
      <c r="AN68" s="28">
        <f>IF(S68=0,0,(AD68-S68)/S68*100)</f>
        <v>0</v>
      </c>
      <c r="AO68" s="28">
        <f t="shared" si="8"/>
        <v>0</v>
      </c>
      <c r="AP68" s="28">
        <f t="shared" si="8"/>
        <v>0</v>
      </c>
      <c r="AQ68" s="28">
        <f t="shared" si="8"/>
        <v>0</v>
      </c>
      <c r="AR68" s="28">
        <f t="shared" si="8"/>
        <v>0</v>
      </c>
      <c r="AS68" s="28">
        <f t="shared" si="8"/>
        <v>0</v>
      </c>
      <c r="AT68" s="28">
        <f t="shared" si="8"/>
        <v>0</v>
      </c>
      <c r="AU68" s="28">
        <f t="shared" si="8"/>
        <v>0</v>
      </c>
      <c r="AV68" s="28">
        <f t="shared" si="8"/>
        <v>0</v>
      </c>
      <c r="AW68" s="28">
        <f t="shared" si="8"/>
        <v>0</v>
      </c>
      <c r="AX68" s="41"/>
      <c r="AY68" s="41"/>
      <c r="AZ68" s="41"/>
    </row>
    <row r="69" spans="1:53" ht="11.25" hidden="1" outlineLevel="1" x14ac:dyDescent="0.25">
      <c r="A69" s="21" t="str">
        <f t="shared" si="6"/>
        <v>1</v>
      </c>
      <c r="B69" s="1" t="s">
        <v>224</v>
      </c>
      <c r="D69" s="1" t="s">
        <v>225</v>
      </c>
      <c r="L69" s="32" t="s">
        <v>226</v>
      </c>
      <c r="M69" s="42" t="s">
        <v>227</v>
      </c>
      <c r="N69" s="34" t="s">
        <v>16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f>SUMIFS([1]Покупка!AD$15:AD$35,[1]Покупка!$A$15:$A$35,$A69,[1]Покупка!$M$15:$M$35,$B69)</f>
        <v>0</v>
      </c>
      <c r="AF69" s="45">
        <f>SUMIFS([1]Покупка!AE$15:AE$35,[1]Покупка!$A$15:$A$35,$A69,[1]Покупка!$M$15:$M$35,$B69)</f>
        <v>0</v>
      </c>
      <c r="AG69" s="45">
        <f>SUMIFS([1]Покупка!AF$15:AF$35,[1]Покупка!$A$15:$A$35,$A69,[1]Покупка!$M$15:$M$35,$B69)</f>
        <v>0</v>
      </c>
      <c r="AH69" s="45">
        <f>SUMIFS([1]Покупка!AG$15:AG$35,[1]Покупка!$A$15:$A$35,$A69,[1]Покупка!$M$15:$M$35,$B69)</f>
        <v>0</v>
      </c>
      <c r="AI69" s="45">
        <f>SUMIFS([1]Покупка!AH$15:AH$35,[1]Покупка!$A$15:$A$35,$A69,[1]Покупка!$M$15:$M$35,$B69)</f>
        <v>0</v>
      </c>
      <c r="AJ69" s="45">
        <f>SUMIFS([1]Покупка!AI$15:AI$35,[1]Покупка!$A$15:$A$35,$A69,[1]Покупка!$M$15:$M$35,$B69)</f>
        <v>0</v>
      </c>
      <c r="AK69" s="45">
        <f>SUMIFS([1]Покупка!AJ$15:AJ$35,[1]Покупка!$A$15:$A$35,$A69,[1]Покупка!$M$15:$M$35,$B69)</f>
        <v>0</v>
      </c>
      <c r="AL69" s="45">
        <f>SUMIFS([1]Покупка!AK$15:AK$35,[1]Покупка!$A$15:$A$35,$A69,[1]Покупка!$M$15:$M$35,$B69)</f>
        <v>0</v>
      </c>
      <c r="AM69" s="45">
        <f>SUMIFS([1]Покупка!AL$15:AL$35,[1]Покупка!$A$15:$A$35,$A69,[1]Покупка!$M$15:$M$35,$B69)</f>
        <v>0</v>
      </c>
      <c r="AN69" s="45">
        <f t="shared" ref="AN69:AN110" si="10">IF(S69=0,0,(AD69-S69)/S69*100)</f>
        <v>0</v>
      </c>
      <c r="AO69" s="45">
        <f t="shared" si="8"/>
        <v>0</v>
      </c>
      <c r="AP69" s="45">
        <f t="shared" si="8"/>
        <v>0</v>
      </c>
      <c r="AQ69" s="45">
        <f t="shared" si="8"/>
        <v>0</v>
      </c>
      <c r="AR69" s="45">
        <f t="shared" si="8"/>
        <v>0</v>
      </c>
      <c r="AS69" s="45">
        <f t="shared" si="8"/>
        <v>0</v>
      </c>
      <c r="AT69" s="45">
        <f t="shared" si="8"/>
        <v>0</v>
      </c>
      <c r="AU69" s="45">
        <f t="shared" si="8"/>
        <v>0</v>
      </c>
      <c r="AV69" s="45">
        <f t="shared" si="8"/>
        <v>0</v>
      </c>
      <c r="AW69" s="45">
        <f t="shared" si="8"/>
        <v>0</v>
      </c>
      <c r="AX69" s="29"/>
      <c r="AY69" s="29"/>
      <c r="AZ69" s="29"/>
    </row>
    <row r="70" spans="1:53" ht="11.25" hidden="1" outlineLevel="1" x14ac:dyDescent="0.25">
      <c r="A70" s="21" t="str">
        <f t="shared" si="6"/>
        <v>1</v>
      </c>
      <c r="B70" s="1" t="s">
        <v>228</v>
      </c>
      <c r="D70" s="1" t="s">
        <v>229</v>
      </c>
      <c r="L70" s="32" t="s">
        <v>230</v>
      </c>
      <c r="M70" s="42" t="s">
        <v>231</v>
      </c>
      <c r="N70" s="34" t="s">
        <v>16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f>SUMIFS([1]Покупка!AD$15:AD$35,[1]Покупка!$A$15:$A$35,$A70,[1]Покупка!$M$15:$M$35,$B70)</f>
        <v>0</v>
      </c>
      <c r="AF70" s="45">
        <f>SUMIFS([1]Покупка!AE$15:AE$35,[1]Покупка!$A$15:$A$35,$A70,[1]Покупка!$M$15:$M$35,$B70)</f>
        <v>0</v>
      </c>
      <c r="AG70" s="45">
        <f>SUMIFS([1]Покупка!AF$15:AF$35,[1]Покупка!$A$15:$A$35,$A70,[1]Покупка!$M$15:$M$35,$B70)</f>
        <v>0</v>
      </c>
      <c r="AH70" s="45">
        <f>SUMIFS([1]Покупка!AG$15:AG$35,[1]Покупка!$A$15:$A$35,$A70,[1]Покупка!$M$15:$M$35,$B70)</f>
        <v>0</v>
      </c>
      <c r="AI70" s="45">
        <f>SUMIFS([1]Покупка!AH$15:AH$35,[1]Покупка!$A$15:$A$35,$A70,[1]Покупка!$M$15:$M$35,$B70)</f>
        <v>0</v>
      </c>
      <c r="AJ70" s="45">
        <f>SUMIFS([1]Покупка!AI$15:AI$35,[1]Покупка!$A$15:$A$35,$A70,[1]Покупка!$M$15:$M$35,$B70)</f>
        <v>0</v>
      </c>
      <c r="AK70" s="45">
        <f>SUMIFS([1]Покупка!AJ$15:AJ$35,[1]Покупка!$A$15:$A$35,$A70,[1]Покупка!$M$15:$M$35,$B70)</f>
        <v>0</v>
      </c>
      <c r="AL70" s="45">
        <f>SUMIFS([1]Покупка!AK$15:AK$35,[1]Покупка!$A$15:$A$35,$A70,[1]Покупка!$M$15:$M$35,$B70)</f>
        <v>0</v>
      </c>
      <c r="AM70" s="45">
        <f>SUMIFS([1]Покупка!AL$15:AL$35,[1]Покупка!$A$15:$A$35,$A70,[1]Покупка!$M$15:$M$35,$B70)</f>
        <v>0</v>
      </c>
      <c r="AN70" s="45">
        <f t="shared" si="10"/>
        <v>0</v>
      </c>
      <c r="AO70" s="45">
        <f t="shared" si="8"/>
        <v>0</v>
      </c>
      <c r="AP70" s="45">
        <f t="shared" si="8"/>
        <v>0</v>
      </c>
      <c r="AQ70" s="45">
        <f t="shared" si="8"/>
        <v>0</v>
      </c>
      <c r="AR70" s="45">
        <f t="shared" si="8"/>
        <v>0</v>
      </c>
      <c r="AS70" s="45">
        <f t="shared" si="8"/>
        <v>0</v>
      </c>
      <c r="AT70" s="45">
        <f t="shared" si="8"/>
        <v>0</v>
      </c>
      <c r="AU70" s="45">
        <f t="shared" si="8"/>
        <v>0</v>
      </c>
      <c r="AV70" s="45">
        <f t="shared" si="8"/>
        <v>0</v>
      </c>
      <c r="AW70" s="45">
        <f t="shared" si="8"/>
        <v>0</v>
      </c>
      <c r="AX70" s="29"/>
      <c r="AY70" s="29"/>
      <c r="AZ70" s="29"/>
    </row>
    <row r="71" spans="1:53" ht="11.25" hidden="1" outlineLevel="1" x14ac:dyDescent="0.25">
      <c r="A71" s="21" t="str">
        <f t="shared" si="6"/>
        <v>1</v>
      </c>
      <c r="B71" s="1" t="s">
        <v>232</v>
      </c>
      <c r="D71" s="1" t="s">
        <v>233</v>
      </c>
      <c r="L71" s="32" t="s">
        <v>234</v>
      </c>
      <c r="M71" s="42" t="s">
        <v>235</v>
      </c>
      <c r="N71" s="34" t="s">
        <v>16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f>SUMIFS([1]Покупка!AD$15:AD$35,[1]Покупка!$A$15:$A$35,$A71,[1]Покупка!$M$15:$M$35,$B71)</f>
        <v>0</v>
      </c>
      <c r="AF71" s="45">
        <f>SUMIFS([1]Покупка!AE$15:AE$35,[1]Покупка!$A$15:$A$35,$A71,[1]Покупка!$M$15:$M$35,$B71)</f>
        <v>0</v>
      </c>
      <c r="AG71" s="45">
        <f>SUMIFS([1]Покупка!AF$15:AF$35,[1]Покупка!$A$15:$A$35,$A71,[1]Покупка!$M$15:$M$35,$B71)</f>
        <v>0</v>
      </c>
      <c r="AH71" s="45">
        <f>SUMIFS([1]Покупка!AG$15:AG$35,[1]Покупка!$A$15:$A$35,$A71,[1]Покупка!$M$15:$M$35,$B71)</f>
        <v>0</v>
      </c>
      <c r="AI71" s="45">
        <f>SUMIFS([1]Покупка!AH$15:AH$35,[1]Покупка!$A$15:$A$35,$A71,[1]Покупка!$M$15:$M$35,$B71)</f>
        <v>0</v>
      </c>
      <c r="AJ71" s="45">
        <f>SUMIFS([1]Покупка!AI$15:AI$35,[1]Покупка!$A$15:$A$35,$A71,[1]Покупка!$M$15:$M$35,$B71)</f>
        <v>0</v>
      </c>
      <c r="AK71" s="45">
        <f>SUMIFS([1]Покупка!AJ$15:AJ$35,[1]Покупка!$A$15:$A$35,$A71,[1]Покупка!$M$15:$M$35,$B71)</f>
        <v>0</v>
      </c>
      <c r="AL71" s="45">
        <f>SUMIFS([1]Покупка!AK$15:AK$35,[1]Покупка!$A$15:$A$35,$A71,[1]Покупка!$M$15:$M$35,$B71)</f>
        <v>0</v>
      </c>
      <c r="AM71" s="45">
        <f>SUMIFS([1]Покупка!AL$15:AL$35,[1]Покупка!$A$15:$A$35,$A71,[1]Покупка!$M$15:$M$35,$B71)</f>
        <v>0</v>
      </c>
      <c r="AN71" s="45">
        <f t="shared" si="10"/>
        <v>0</v>
      </c>
      <c r="AO71" s="45">
        <f t="shared" si="8"/>
        <v>0</v>
      </c>
      <c r="AP71" s="45">
        <f t="shared" si="8"/>
        <v>0</v>
      </c>
      <c r="AQ71" s="45">
        <f t="shared" si="8"/>
        <v>0</v>
      </c>
      <c r="AR71" s="45">
        <f t="shared" si="8"/>
        <v>0</v>
      </c>
      <c r="AS71" s="45">
        <f t="shared" si="8"/>
        <v>0</v>
      </c>
      <c r="AT71" s="45">
        <f t="shared" si="8"/>
        <v>0</v>
      </c>
      <c r="AU71" s="45">
        <f t="shared" si="8"/>
        <v>0</v>
      </c>
      <c r="AV71" s="45">
        <f t="shared" si="8"/>
        <v>0</v>
      </c>
      <c r="AW71" s="45">
        <f t="shared" si="8"/>
        <v>0</v>
      </c>
      <c r="AX71" s="29"/>
      <c r="AY71" s="29"/>
      <c r="AZ71" s="29"/>
    </row>
    <row r="72" spans="1:53" ht="11.25" hidden="1" outlineLevel="1" x14ac:dyDescent="0.25">
      <c r="A72" s="21" t="str">
        <f t="shared" si="6"/>
        <v>1</v>
      </c>
      <c r="B72" s="1" t="s">
        <v>236</v>
      </c>
      <c r="D72" s="1" t="s">
        <v>237</v>
      </c>
      <c r="L72" s="32" t="s">
        <v>238</v>
      </c>
      <c r="M72" s="42" t="s">
        <v>239</v>
      </c>
      <c r="N72" s="34" t="s">
        <v>16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f>SUMIFS([1]Покупка!AD$15:AD$35,[1]Покупка!$A$15:$A$35,$A72,[1]Покупка!$M$15:$M$35,$B72)</f>
        <v>0</v>
      </c>
      <c r="AF72" s="45">
        <f>SUMIFS([1]Покупка!AE$15:AE$35,[1]Покупка!$A$15:$A$35,$A72,[1]Покупка!$M$15:$M$35,$B72)</f>
        <v>0</v>
      </c>
      <c r="AG72" s="45">
        <f>SUMIFS([1]Покупка!AF$15:AF$35,[1]Покупка!$A$15:$A$35,$A72,[1]Покупка!$M$15:$M$35,$B72)</f>
        <v>0</v>
      </c>
      <c r="AH72" s="45">
        <f>SUMIFS([1]Покупка!AG$15:AG$35,[1]Покупка!$A$15:$A$35,$A72,[1]Покупка!$M$15:$M$35,$B72)</f>
        <v>0</v>
      </c>
      <c r="AI72" s="45">
        <f>SUMIFS([1]Покупка!AH$15:AH$35,[1]Покупка!$A$15:$A$35,$A72,[1]Покупка!$M$15:$M$35,$B72)</f>
        <v>0</v>
      </c>
      <c r="AJ72" s="45">
        <f>SUMIFS([1]Покупка!AI$15:AI$35,[1]Покупка!$A$15:$A$35,$A72,[1]Покупка!$M$15:$M$35,$B72)</f>
        <v>0</v>
      </c>
      <c r="AK72" s="45">
        <f>SUMIFS([1]Покупка!AJ$15:AJ$35,[1]Покупка!$A$15:$A$35,$A72,[1]Покупка!$M$15:$M$35,$B72)</f>
        <v>0</v>
      </c>
      <c r="AL72" s="45">
        <f>SUMIFS([1]Покупка!AK$15:AK$35,[1]Покупка!$A$15:$A$35,$A72,[1]Покупка!$M$15:$M$35,$B72)</f>
        <v>0</v>
      </c>
      <c r="AM72" s="45">
        <f>SUMIFS([1]Покупка!AL$15:AL$35,[1]Покупка!$A$15:$A$35,$A72,[1]Покупка!$M$15:$M$35,$B72)</f>
        <v>0</v>
      </c>
      <c r="AN72" s="45">
        <f t="shared" si="10"/>
        <v>0</v>
      </c>
      <c r="AO72" s="45">
        <f t="shared" si="8"/>
        <v>0</v>
      </c>
      <c r="AP72" s="45">
        <f t="shared" si="8"/>
        <v>0</v>
      </c>
      <c r="AQ72" s="45">
        <f t="shared" si="8"/>
        <v>0</v>
      </c>
      <c r="AR72" s="45">
        <f t="shared" si="8"/>
        <v>0</v>
      </c>
      <c r="AS72" s="45">
        <f t="shared" si="8"/>
        <v>0</v>
      </c>
      <c r="AT72" s="45">
        <f t="shared" si="8"/>
        <v>0</v>
      </c>
      <c r="AU72" s="45">
        <f t="shared" si="8"/>
        <v>0</v>
      </c>
      <c r="AV72" s="45">
        <f t="shared" si="8"/>
        <v>0</v>
      </c>
      <c r="AW72" s="45">
        <f t="shared" si="8"/>
        <v>0</v>
      </c>
      <c r="AX72" s="29"/>
      <c r="AY72" s="29"/>
      <c r="AZ72" s="29"/>
    </row>
    <row r="73" spans="1:53" ht="11.25" hidden="1" outlineLevel="1" x14ac:dyDescent="0.25">
      <c r="A73" s="21" t="str">
        <f t="shared" si="6"/>
        <v>1</v>
      </c>
      <c r="B73" s="1" t="s">
        <v>240</v>
      </c>
      <c r="D73" s="1" t="s">
        <v>241</v>
      </c>
      <c r="L73" s="32" t="s">
        <v>242</v>
      </c>
      <c r="M73" s="42" t="s">
        <v>20</v>
      </c>
      <c r="N73" s="34" t="s">
        <v>16</v>
      </c>
      <c r="O73" s="45">
        <v>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5">
        <f>SUMIFS([1]Покупка!AD$15:AD$35,[1]Покупка!$A$15:$A$35,$A73,[1]Покупка!$M$15:$M$35,$B73)</f>
        <v>0</v>
      </c>
      <c r="AF73" s="45">
        <f>SUMIFS([1]Покупка!AE$15:AE$35,[1]Покупка!$A$15:$A$35,$A73,[1]Покупка!$M$15:$M$35,$B73)</f>
        <v>0</v>
      </c>
      <c r="AG73" s="45">
        <f>SUMIFS([1]Покупка!AF$15:AF$35,[1]Покупка!$A$15:$A$35,$A73,[1]Покупка!$M$15:$M$35,$B73)</f>
        <v>0</v>
      </c>
      <c r="AH73" s="45">
        <f>SUMIFS([1]Покупка!AG$15:AG$35,[1]Покупка!$A$15:$A$35,$A73,[1]Покупка!$M$15:$M$35,$B73)</f>
        <v>0</v>
      </c>
      <c r="AI73" s="45">
        <f>SUMIFS([1]Покупка!AH$15:AH$35,[1]Покупка!$A$15:$A$35,$A73,[1]Покупка!$M$15:$M$35,$B73)</f>
        <v>0</v>
      </c>
      <c r="AJ73" s="45">
        <f>SUMIFS([1]Покупка!AI$15:AI$35,[1]Покупка!$A$15:$A$35,$A73,[1]Покупка!$M$15:$M$35,$B73)</f>
        <v>0</v>
      </c>
      <c r="AK73" s="45">
        <f>SUMIFS([1]Покупка!AJ$15:AJ$35,[1]Покупка!$A$15:$A$35,$A73,[1]Покупка!$M$15:$M$35,$B73)</f>
        <v>0</v>
      </c>
      <c r="AL73" s="45">
        <f>SUMIFS([1]Покупка!AK$15:AK$35,[1]Покупка!$A$15:$A$35,$A73,[1]Покупка!$M$15:$M$35,$B73)</f>
        <v>0</v>
      </c>
      <c r="AM73" s="45">
        <f>SUMIFS([1]Покупка!AL$15:AL$35,[1]Покупка!$A$15:$A$35,$A73,[1]Покупка!$M$15:$M$35,$B73)</f>
        <v>0</v>
      </c>
      <c r="AN73" s="45">
        <f t="shared" si="10"/>
        <v>0</v>
      </c>
      <c r="AO73" s="45">
        <f t="shared" si="8"/>
        <v>0</v>
      </c>
      <c r="AP73" s="45">
        <f t="shared" si="8"/>
        <v>0</v>
      </c>
      <c r="AQ73" s="45">
        <f t="shared" si="8"/>
        <v>0</v>
      </c>
      <c r="AR73" s="45">
        <f t="shared" si="8"/>
        <v>0</v>
      </c>
      <c r="AS73" s="45">
        <f t="shared" si="8"/>
        <v>0</v>
      </c>
      <c r="AT73" s="45">
        <f t="shared" si="8"/>
        <v>0</v>
      </c>
      <c r="AU73" s="45">
        <f t="shared" si="8"/>
        <v>0</v>
      </c>
      <c r="AV73" s="45">
        <f t="shared" si="8"/>
        <v>0</v>
      </c>
      <c r="AW73" s="45">
        <f t="shared" si="8"/>
        <v>0</v>
      </c>
      <c r="AX73" s="29"/>
      <c r="AY73" s="29"/>
      <c r="AZ73" s="29"/>
    </row>
    <row r="74" spans="1:53" ht="11.25" hidden="1" outlineLevel="1" x14ac:dyDescent="0.25">
      <c r="A74" s="21" t="str">
        <f t="shared" si="6"/>
        <v>1</v>
      </c>
      <c r="D74" s="1" t="s">
        <v>243</v>
      </c>
      <c r="L74" s="32" t="s">
        <v>244</v>
      </c>
      <c r="M74" s="42" t="s">
        <v>21</v>
      </c>
      <c r="N74" s="34" t="s">
        <v>16</v>
      </c>
      <c r="O74" s="49"/>
      <c r="P74" s="49"/>
      <c r="Q74" s="49"/>
      <c r="R74" s="45">
        <v>0</v>
      </c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5">
        <f t="shared" si="10"/>
        <v>0</v>
      </c>
      <c r="AO74" s="45">
        <f t="shared" si="8"/>
        <v>0</v>
      </c>
      <c r="AP74" s="45">
        <f t="shared" si="8"/>
        <v>0</v>
      </c>
      <c r="AQ74" s="45">
        <f t="shared" si="8"/>
        <v>0</v>
      </c>
      <c r="AR74" s="45">
        <f t="shared" si="8"/>
        <v>0</v>
      </c>
      <c r="AS74" s="45">
        <f t="shared" si="8"/>
        <v>0</v>
      </c>
      <c r="AT74" s="45">
        <f t="shared" si="8"/>
        <v>0</v>
      </c>
      <c r="AU74" s="45">
        <f t="shared" si="8"/>
        <v>0</v>
      </c>
      <c r="AV74" s="45">
        <f t="shared" si="8"/>
        <v>0</v>
      </c>
      <c r="AW74" s="45">
        <f t="shared" si="8"/>
        <v>0</v>
      </c>
      <c r="AX74" s="29"/>
      <c r="AY74" s="29"/>
      <c r="AZ74" s="29"/>
    </row>
    <row r="75" spans="1:53" ht="11.25" hidden="1" outlineLevel="1" x14ac:dyDescent="0.25">
      <c r="A75" s="21" t="str">
        <f t="shared" si="6"/>
        <v>1</v>
      </c>
      <c r="D75" s="1" t="s">
        <v>245</v>
      </c>
      <c r="L75" s="32" t="s">
        <v>246</v>
      </c>
      <c r="M75" s="42" t="s">
        <v>22</v>
      </c>
      <c r="N75" s="34" t="s">
        <v>16</v>
      </c>
      <c r="O75" s="49"/>
      <c r="P75" s="49"/>
      <c r="Q75" s="49"/>
      <c r="R75" s="45">
        <v>0</v>
      </c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5">
        <f t="shared" si="10"/>
        <v>0</v>
      </c>
      <c r="AO75" s="45">
        <f t="shared" si="8"/>
        <v>0</v>
      </c>
      <c r="AP75" s="45">
        <f t="shared" si="8"/>
        <v>0</v>
      </c>
      <c r="AQ75" s="45">
        <f t="shared" si="8"/>
        <v>0</v>
      </c>
      <c r="AR75" s="45">
        <f t="shared" si="8"/>
        <v>0</v>
      </c>
      <c r="AS75" s="45">
        <f t="shared" si="8"/>
        <v>0</v>
      </c>
      <c r="AT75" s="45">
        <f t="shared" si="8"/>
        <v>0</v>
      </c>
      <c r="AU75" s="45">
        <f t="shared" si="8"/>
        <v>0</v>
      </c>
      <c r="AV75" s="45">
        <f t="shared" si="8"/>
        <v>0</v>
      </c>
      <c r="AW75" s="45">
        <f t="shared" si="8"/>
        <v>0</v>
      </c>
      <c r="AX75" s="29"/>
      <c r="AY75" s="29"/>
      <c r="AZ75" s="29"/>
    </row>
    <row r="76" spans="1:53" ht="11.25" hidden="1" outlineLevel="1" x14ac:dyDescent="0.25">
      <c r="A76" s="21" t="str">
        <f t="shared" si="6"/>
        <v>1</v>
      </c>
      <c r="B76" s="1" t="s">
        <v>247</v>
      </c>
      <c r="D76" s="1" t="s">
        <v>248</v>
      </c>
      <c r="L76" s="32" t="s">
        <v>249</v>
      </c>
      <c r="M76" s="42" t="s">
        <v>23</v>
      </c>
      <c r="N76" s="34" t="s">
        <v>16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f>SUMIFS([1]Покупка!AD$15:AD$35,[1]Покупка!$A$15:$A$35,$A76,[1]Покупка!$M$15:$M$35,$B76)</f>
        <v>0</v>
      </c>
      <c r="AF76" s="45">
        <f>SUMIFS([1]Покупка!AE$15:AE$35,[1]Покупка!$A$15:$A$35,$A76,[1]Покупка!$M$15:$M$35,$B76)</f>
        <v>0</v>
      </c>
      <c r="AG76" s="45">
        <f>SUMIFS([1]Покупка!AF$15:AF$35,[1]Покупка!$A$15:$A$35,$A76,[1]Покупка!$M$15:$M$35,$B76)</f>
        <v>0</v>
      </c>
      <c r="AH76" s="45">
        <f>SUMIFS([1]Покупка!AG$15:AG$35,[1]Покупка!$A$15:$A$35,$A76,[1]Покупка!$M$15:$M$35,$B76)</f>
        <v>0</v>
      </c>
      <c r="AI76" s="45">
        <f>SUMIFS([1]Покупка!AH$15:AH$35,[1]Покупка!$A$15:$A$35,$A76,[1]Покупка!$M$15:$M$35,$B76)</f>
        <v>0</v>
      </c>
      <c r="AJ76" s="45">
        <f>SUMIFS([1]Покупка!AI$15:AI$35,[1]Покупка!$A$15:$A$35,$A76,[1]Покупка!$M$15:$M$35,$B76)</f>
        <v>0</v>
      </c>
      <c r="AK76" s="45">
        <f>SUMIFS([1]Покупка!AJ$15:AJ$35,[1]Покупка!$A$15:$A$35,$A76,[1]Покупка!$M$15:$M$35,$B76)</f>
        <v>0</v>
      </c>
      <c r="AL76" s="45">
        <f>SUMIFS([1]Покупка!AK$15:AK$35,[1]Покупка!$A$15:$A$35,$A76,[1]Покупка!$M$15:$M$35,$B76)</f>
        <v>0</v>
      </c>
      <c r="AM76" s="45">
        <f>SUMIFS([1]Покупка!AL$15:AL$35,[1]Покупка!$A$15:$A$35,$A76,[1]Покупка!$M$15:$M$35,$B76)</f>
        <v>0</v>
      </c>
      <c r="AN76" s="45">
        <f t="shared" si="10"/>
        <v>0</v>
      </c>
      <c r="AO76" s="45">
        <f t="shared" si="8"/>
        <v>0</v>
      </c>
      <c r="AP76" s="45">
        <f t="shared" si="8"/>
        <v>0</v>
      </c>
      <c r="AQ76" s="45">
        <f t="shared" si="8"/>
        <v>0</v>
      </c>
      <c r="AR76" s="45">
        <f t="shared" si="8"/>
        <v>0</v>
      </c>
      <c r="AS76" s="45">
        <f t="shared" si="8"/>
        <v>0</v>
      </c>
      <c r="AT76" s="45">
        <f t="shared" si="8"/>
        <v>0</v>
      </c>
      <c r="AU76" s="45">
        <f t="shared" si="8"/>
        <v>0</v>
      </c>
      <c r="AV76" s="45">
        <f t="shared" si="8"/>
        <v>0</v>
      </c>
      <c r="AW76" s="45">
        <f t="shared" si="8"/>
        <v>0</v>
      </c>
      <c r="AX76" s="29"/>
      <c r="AY76" s="29"/>
      <c r="AZ76" s="29"/>
    </row>
    <row r="77" spans="1:53" ht="11.25" hidden="1" outlineLevel="1" x14ac:dyDescent="0.25">
      <c r="A77" s="21" t="str">
        <f t="shared" si="6"/>
        <v>1</v>
      </c>
      <c r="B77" s="1" t="s">
        <v>250</v>
      </c>
      <c r="D77" s="1" t="s">
        <v>251</v>
      </c>
      <c r="L77" s="32" t="s">
        <v>252</v>
      </c>
      <c r="M77" s="42" t="s">
        <v>24</v>
      </c>
      <c r="N77" s="34" t="s">
        <v>16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f>SUMIFS([1]Покупка!AD$15:AD$35,[1]Покупка!$A$15:$A$35,$A77,[1]Покупка!$M$15:$M$35,$B77)</f>
        <v>0</v>
      </c>
      <c r="AF77" s="45">
        <f>SUMIFS([1]Покупка!AE$15:AE$35,[1]Покупка!$A$15:$A$35,$A77,[1]Покупка!$M$15:$M$35,$B77)</f>
        <v>0</v>
      </c>
      <c r="AG77" s="45">
        <f>SUMIFS([1]Покупка!AF$15:AF$35,[1]Покупка!$A$15:$A$35,$A77,[1]Покупка!$M$15:$M$35,$B77)</f>
        <v>0</v>
      </c>
      <c r="AH77" s="45">
        <f>SUMIFS([1]Покупка!AG$15:AG$35,[1]Покупка!$A$15:$A$35,$A77,[1]Покупка!$M$15:$M$35,$B77)</f>
        <v>0</v>
      </c>
      <c r="AI77" s="45">
        <f>SUMIFS([1]Покупка!AH$15:AH$35,[1]Покупка!$A$15:$A$35,$A77,[1]Покупка!$M$15:$M$35,$B77)</f>
        <v>0</v>
      </c>
      <c r="AJ77" s="45">
        <f>SUMIFS([1]Покупка!AI$15:AI$35,[1]Покупка!$A$15:$A$35,$A77,[1]Покупка!$M$15:$M$35,$B77)</f>
        <v>0</v>
      </c>
      <c r="AK77" s="45">
        <f>SUMIFS([1]Покупка!AJ$15:AJ$35,[1]Покупка!$A$15:$A$35,$A77,[1]Покупка!$M$15:$M$35,$B77)</f>
        <v>0</v>
      </c>
      <c r="AL77" s="45">
        <f>SUMIFS([1]Покупка!AK$15:AK$35,[1]Покупка!$A$15:$A$35,$A77,[1]Покупка!$M$15:$M$35,$B77)</f>
        <v>0</v>
      </c>
      <c r="AM77" s="45">
        <f>SUMIFS([1]Покупка!AL$15:AL$35,[1]Покупка!$A$15:$A$35,$A77,[1]Покупка!$M$15:$M$35,$B77)</f>
        <v>0</v>
      </c>
      <c r="AN77" s="45">
        <f t="shared" si="10"/>
        <v>0</v>
      </c>
      <c r="AO77" s="45">
        <f t="shared" si="8"/>
        <v>0</v>
      </c>
      <c r="AP77" s="45">
        <f t="shared" si="8"/>
        <v>0</v>
      </c>
      <c r="AQ77" s="45">
        <f t="shared" si="8"/>
        <v>0</v>
      </c>
      <c r="AR77" s="45">
        <f t="shared" si="8"/>
        <v>0</v>
      </c>
      <c r="AS77" s="45">
        <f t="shared" si="8"/>
        <v>0</v>
      </c>
      <c r="AT77" s="45">
        <f t="shared" si="8"/>
        <v>0</v>
      </c>
      <c r="AU77" s="45">
        <f t="shared" si="8"/>
        <v>0</v>
      </c>
      <c r="AV77" s="45">
        <f t="shared" si="8"/>
        <v>0</v>
      </c>
      <c r="AW77" s="45">
        <f t="shared" si="8"/>
        <v>0</v>
      </c>
      <c r="AX77" s="29"/>
      <c r="AY77" s="29"/>
      <c r="AZ77" s="29"/>
    </row>
    <row r="78" spans="1:53" ht="11.25" hidden="1" outlineLevel="1" x14ac:dyDescent="0.25">
      <c r="A78" s="21" t="str">
        <f t="shared" si="6"/>
        <v>1</v>
      </c>
      <c r="B78" s="1" t="s">
        <v>253</v>
      </c>
      <c r="D78" s="1" t="s">
        <v>254</v>
      </c>
      <c r="L78" s="32" t="s">
        <v>255</v>
      </c>
      <c r="M78" s="42" t="s">
        <v>256</v>
      </c>
      <c r="N78" s="34" t="s">
        <v>16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f>SUMIFS([1]Покупка!AD$15:AD$35,[1]Покупка!$A$15:$A$35,$A78,[1]Покупка!$M$15:$M$35,$B78)</f>
        <v>0</v>
      </c>
      <c r="AF78" s="45">
        <f>SUMIFS([1]Покупка!AE$15:AE$35,[1]Покупка!$A$15:$A$35,$A78,[1]Покупка!$M$15:$M$35,$B78)</f>
        <v>0</v>
      </c>
      <c r="AG78" s="45">
        <f>SUMIFS([1]Покупка!AF$15:AF$35,[1]Покупка!$A$15:$A$35,$A78,[1]Покупка!$M$15:$M$35,$B78)</f>
        <v>0</v>
      </c>
      <c r="AH78" s="45">
        <f>SUMIFS([1]Покупка!AG$15:AG$35,[1]Покупка!$A$15:$A$35,$A78,[1]Покупка!$M$15:$M$35,$B78)</f>
        <v>0</v>
      </c>
      <c r="AI78" s="45">
        <f>SUMIFS([1]Покупка!AH$15:AH$35,[1]Покупка!$A$15:$A$35,$A78,[1]Покупка!$M$15:$M$35,$B78)</f>
        <v>0</v>
      </c>
      <c r="AJ78" s="45">
        <f>SUMIFS([1]Покупка!AI$15:AI$35,[1]Покупка!$A$15:$A$35,$A78,[1]Покупка!$M$15:$M$35,$B78)</f>
        <v>0</v>
      </c>
      <c r="AK78" s="45">
        <f>SUMIFS([1]Покупка!AJ$15:AJ$35,[1]Покупка!$A$15:$A$35,$A78,[1]Покупка!$M$15:$M$35,$B78)</f>
        <v>0</v>
      </c>
      <c r="AL78" s="45">
        <f>SUMIFS([1]Покупка!AK$15:AK$35,[1]Покупка!$A$15:$A$35,$A78,[1]Покупка!$M$15:$M$35,$B78)</f>
        <v>0</v>
      </c>
      <c r="AM78" s="45">
        <f>SUMIFS([1]Покупка!AL$15:AL$35,[1]Покупка!$A$15:$A$35,$A78,[1]Покупка!$M$15:$M$35,$B78)</f>
        <v>0</v>
      </c>
      <c r="AN78" s="45">
        <f>IF(S78=0,0,(AD78-S78)/S78*100)</f>
        <v>0</v>
      </c>
      <c r="AO78" s="45">
        <f t="shared" si="8"/>
        <v>0</v>
      </c>
      <c r="AP78" s="45">
        <f t="shared" si="8"/>
        <v>0</v>
      </c>
      <c r="AQ78" s="45">
        <f t="shared" si="8"/>
        <v>0</v>
      </c>
      <c r="AR78" s="45">
        <f t="shared" si="8"/>
        <v>0</v>
      </c>
      <c r="AS78" s="45">
        <f t="shared" si="8"/>
        <v>0</v>
      </c>
      <c r="AT78" s="45">
        <f t="shared" si="8"/>
        <v>0</v>
      </c>
      <c r="AU78" s="45">
        <f t="shared" si="8"/>
        <v>0</v>
      </c>
      <c r="AV78" s="45">
        <f t="shared" si="8"/>
        <v>0</v>
      </c>
      <c r="AW78" s="45">
        <f t="shared" si="8"/>
        <v>0</v>
      </c>
      <c r="AX78" s="29"/>
      <c r="AY78" s="29"/>
      <c r="AZ78" s="29"/>
    </row>
    <row r="79" spans="1:53" ht="11.25" hidden="1" outlineLevel="1" x14ac:dyDescent="0.25">
      <c r="A79" s="21" t="str">
        <f t="shared" si="6"/>
        <v>1</v>
      </c>
      <c r="D79" s="1" t="s">
        <v>257</v>
      </c>
      <c r="L79" s="32" t="s">
        <v>258</v>
      </c>
      <c r="M79" s="33" t="s">
        <v>259</v>
      </c>
      <c r="N79" s="68" t="s">
        <v>16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f>SUMIFS([1]Реагенты!AD$15:AD$20,[1]Реагенты!$A$15:$A$20,$A79,[1]Реагенты!$M$15:$M$20,"Всего по тарифу")</f>
        <v>0</v>
      </c>
      <c r="AF79" s="45">
        <f>SUMIFS([1]Реагенты!AE$15:AE$20,[1]Реагенты!$A$15:$A$20,$A79,[1]Реагенты!$M$15:$M$20,"Всего по тарифу")</f>
        <v>0</v>
      </c>
      <c r="AG79" s="45">
        <f>SUMIFS([1]Реагенты!AF$15:AF$20,[1]Реагенты!$A$15:$A$20,$A79,[1]Реагенты!$M$15:$M$20,"Всего по тарифу")</f>
        <v>0</v>
      </c>
      <c r="AH79" s="45">
        <f>SUMIFS([1]Реагенты!AG$15:AG$20,[1]Реагенты!$A$15:$A$20,$A79,[1]Реагенты!$M$15:$M$20,"Всего по тарифу")</f>
        <v>0</v>
      </c>
      <c r="AI79" s="45">
        <f>SUMIFS([1]Реагенты!AH$15:AH$20,[1]Реагенты!$A$15:$A$20,$A79,[1]Реагенты!$M$15:$M$20,"Всего по тарифу")</f>
        <v>0</v>
      </c>
      <c r="AJ79" s="45">
        <f>SUMIFS([1]Реагенты!AI$15:AI$20,[1]Реагенты!$A$15:$A$20,$A79,[1]Реагенты!$M$15:$M$20,"Всего по тарифу")</f>
        <v>0</v>
      </c>
      <c r="AK79" s="45">
        <f>SUMIFS([1]Реагенты!AJ$15:AJ$20,[1]Реагенты!$A$15:$A$20,$A79,[1]Реагенты!$M$15:$M$20,"Всего по тарифу")</f>
        <v>0</v>
      </c>
      <c r="AL79" s="45">
        <f>SUMIFS([1]Реагенты!AK$15:AK$20,[1]Реагенты!$A$15:$A$20,$A79,[1]Реагенты!$M$15:$M$20,"Всего по тарифу")</f>
        <v>0</v>
      </c>
      <c r="AM79" s="45">
        <f>SUMIFS([1]Реагенты!AL$15:AL$20,[1]Реагенты!$A$15:$A$20,$A79,[1]Реагенты!$M$15:$M$20,"Всего по тарифу")</f>
        <v>0</v>
      </c>
      <c r="AN79" s="45">
        <f t="shared" si="10"/>
        <v>0</v>
      </c>
      <c r="AO79" s="45">
        <f t="shared" si="8"/>
        <v>0</v>
      </c>
      <c r="AP79" s="45">
        <f t="shared" si="8"/>
        <v>0</v>
      </c>
      <c r="AQ79" s="45">
        <f t="shared" si="8"/>
        <v>0</v>
      </c>
      <c r="AR79" s="45">
        <f t="shared" si="8"/>
        <v>0</v>
      </c>
      <c r="AS79" s="45">
        <f t="shared" si="8"/>
        <v>0</v>
      </c>
      <c r="AT79" s="45">
        <f t="shared" si="8"/>
        <v>0</v>
      </c>
      <c r="AU79" s="45">
        <f t="shared" si="8"/>
        <v>0</v>
      </c>
      <c r="AV79" s="45">
        <f t="shared" si="8"/>
        <v>0</v>
      </c>
      <c r="AW79" s="45">
        <f t="shared" si="8"/>
        <v>0</v>
      </c>
      <c r="AX79" s="29"/>
      <c r="AY79" s="29"/>
      <c r="AZ79" s="29"/>
    </row>
    <row r="80" spans="1:53" s="55" customFormat="1" ht="11.25" outlineLevel="1" x14ac:dyDescent="0.25">
      <c r="A80" s="21" t="str">
        <f t="shared" si="6"/>
        <v>1</v>
      </c>
      <c r="C80" s="1"/>
      <c r="D80" s="1" t="s">
        <v>260</v>
      </c>
      <c r="L80" s="56" t="s">
        <v>261</v>
      </c>
      <c r="M80" s="57" t="s">
        <v>262</v>
      </c>
      <c r="N80" s="58" t="s">
        <v>16</v>
      </c>
      <c r="O80" s="28">
        <v>117.77999999999999</v>
      </c>
      <c r="P80" s="28">
        <v>120.27500000000001</v>
      </c>
      <c r="Q80" s="28">
        <v>116.807</v>
      </c>
      <c r="R80" s="28">
        <v>-3.4680000000000035</v>
      </c>
      <c r="S80" s="28">
        <v>121.02</v>
      </c>
      <c r="T80" s="59">
        <v>129.488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59">
        <v>39.480000000000004</v>
      </c>
      <c r="AE80" s="28">
        <f t="shared" ref="AE80:AM80" si="11">SUM(AE81:AE89)</f>
        <v>0</v>
      </c>
      <c r="AF80" s="28">
        <f t="shared" si="11"/>
        <v>0</v>
      </c>
      <c r="AG80" s="28">
        <f t="shared" si="11"/>
        <v>0</v>
      </c>
      <c r="AH80" s="28">
        <f t="shared" si="11"/>
        <v>0</v>
      </c>
      <c r="AI80" s="28">
        <f t="shared" si="11"/>
        <v>0</v>
      </c>
      <c r="AJ80" s="28">
        <f t="shared" si="11"/>
        <v>0</v>
      </c>
      <c r="AK80" s="28">
        <f t="shared" si="11"/>
        <v>0</v>
      </c>
      <c r="AL80" s="28">
        <f t="shared" si="11"/>
        <v>0</v>
      </c>
      <c r="AM80" s="28">
        <f t="shared" si="11"/>
        <v>0</v>
      </c>
      <c r="AN80" s="28">
        <f t="shared" si="10"/>
        <v>-67.37729300941993</v>
      </c>
      <c r="AO80" s="28">
        <f t="shared" si="8"/>
        <v>-100</v>
      </c>
      <c r="AP80" s="28">
        <f t="shared" si="8"/>
        <v>0</v>
      </c>
      <c r="AQ80" s="28">
        <f t="shared" si="8"/>
        <v>0</v>
      </c>
      <c r="AR80" s="28">
        <f t="shared" si="8"/>
        <v>0</v>
      </c>
      <c r="AS80" s="28">
        <f t="shared" si="8"/>
        <v>0</v>
      </c>
      <c r="AT80" s="28">
        <f t="shared" si="8"/>
        <v>0</v>
      </c>
      <c r="AU80" s="28">
        <f t="shared" si="8"/>
        <v>0</v>
      </c>
      <c r="AV80" s="28">
        <f t="shared" si="8"/>
        <v>0</v>
      </c>
      <c r="AW80" s="28">
        <f t="shared" si="8"/>
        <v>0</v>
      </c>
      <c r="AX80" s="41"/>
      <c r="AY80" s="41"/>
      <c r="AZ80" s="41"/>
    </row>
    <row r="81" spans="1:52" ht="11.25" outlineLevel="1" x14ac:dyDescent="0.25">
      <c r="A81" s="21" t="str">
        <f t="shared" si="6"/>
        <v>1</v>
      </c>
      <c r="B81" s="1" t="s">
        <v>263</v>
      </c>
      <c r="D81" s="1" t="s">
        <v>264</v>
      </c>
      <c r="L81" s="32" t="s">
        <v>265</v>
      </c>
      <c r="M81" s="42" t="s">
        <v>266</v>
      </c>
      <c r="N81" s="34" t="s">
        <v>16</v>
      </c>
      <c r="O81" s="45">
        <v>76.989999999999995</v>
      </c>
      <c r="P81" s="45">
        <v>81.77</v>
      </c>
      <c r="Q81" s="45">
        <v>81.77</v>
      </c>
      <c r="R81" s="45">
        <v>0</v>
      </c>
      <c r="S81" s="45">
        <v>80</v>
      </c>
      <c r="T81" s="45">
        <v>90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f>SUMIFS([1]Налоги!AD$15:AD$29,[1]Налоги!$A$15:$A$29,$A81,[1]Налоги!$M$15:$M$29,$B81)</f>
        <v>0</v>
      </c>
      <c r="AF81" s="45">
        <f>SUMIFS([1]Налоги!AE$15:AE$29,[1]Налоги!$A$15:$A$29,$A81,[1]Налоги!$M$15:$M$29,$B81)</f>
        <v>0</v>
      </c>
      <c r="AG81" s="45">
        <f>SUMIFS([1]Налоги!AF$15:AF$29,[1]Налоги!$A$15:$A$29,$A81,[1]Налоги!$M$15:$M$29,$B81)</f>
        <v>0</v>
      </c>
      <c r="AH81" s="45">
        <f>SUMIFS([1]Налоги!AG$15:AG$29,[1]Налоги!$A$15:$A$29,$A81,[1]Налоги!$M$15:$M$29,$B81)</f>
        <v>0</v>
      </c>
      <c r="AI81" s="45">
        <f>SUMIFS([1]Налоги!AH$15:AH$29,[1]Налоги!$A$15:$A$29,$A81,[1]Налоги!$M$15:$M$29,$B81)</f>
        <v>0</v>
      </c>
      <c r="AJ81" s="45">
        <f>SUMIFS([1]Налоги!AI$15:AI$29,[1]Налоги!$A$15:$A$29,$A81,[1]Налоги!$M$15:$M$29,$B81)</f>
        <v>0</v>
      </c>
      <c r="AK81" s="45">
        <f>SUMIFS([1]Налоги!AJ$15:AJ$29,[1]Налоги!$A$15:$A$29,$A81,[1]Налоги!$M$15:$M$29,$B81)</f>
        <v>0</v>
      </c>
      <c r="AL81" s="45">
        <f>SUMIFS([1]Налоги!AK$15:AK$29,[1]Налоги!$A$15:$A$29,$A81,[1]Налоги!$M$15:$M$29,$B81)</f>
        <v>0</v>
      </c>
      <c r="AM81" s="45">
        <f>SUMIFS([1]Налоги!AL$15:AL$29,[1]Налоги!$A$15:$A$29,$A81,[1]Налоги!$M$15:$M$29,$B81)</f>
        <v>0</v>
      </c>
      <c r="AN81" s="45">
        <f t="shared" si="10"/>
        <v>-100</v>
      </c>
      <c r="AO81" s="45">
        <f t="shared" si="8"/>
        <v>0</v>
      </c>
      <c r="AP81" s="45">
        <f t="shared" si="8"/>
        <v>0</v>
      </c>
      <c r="AQ81" s="45">
        <f t="shared" si="8"/>
        <v>0</v>
      </c>
      <c r="AR81" s="45">
        <f t="shared" si="8"/>
        <v>0</v>
      </c>
      <c r="AS81" s="45">
        <f t="shared" si="8"/>
        <v>0</v>
      </c>
      <c r="AT81" s="45">
        <f t="shared" si="8"/>
        <v>0</v>
      </c>
      <c r="AU81" s="45">
        <f t="shared" si="8"/>
        <v>0</v>
      </c>
      <c r="AV81" s="45">
        <f t="shared" si="8"/>
        <v>0</v>
      </c>
      <c r="AW81" s="45">
        <f t="shared" si="8"/>
        <v>0</v>
      </c>
      <c r="AX81" s="29"/>
      <c r="AY81" s="29"/>
      <c r="AZ81" s="29"/>
    </row>
    <row r="82" spans="1:52" ht="11.25" hidden="1" outlineLevel="1" x14ac:dyDescent="0.25">
      <c r="A82" s="21" t="str">
        <f t="shared" ref="A82:A141" si="12">A81</f>
        <v>1</v>
      </c>
      <c r="B82" s="1" t="s">
        <v>267</v>
      </c>
      <c r="D82" s="1" t="s">
        <v>268</v>
      </c>
      <c r="L82" s="32" t="s">
        <v>269</v>
      </c>
      <c r="M82" s="42" t="s">
        <v>270</v>
      </c>
      <c r="N82" s="34" t="s">
        <v>16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f>SUMIFS([1]Налоги!AD$15:AD$29,[1]Налоги!$A$15:$A$29,$A82,[1]Налоги!$M$15:$M$29,$B82)</f>
        <v>0</v>
      </c>
      <c r="AF82" s="45">
        <f>SUMIFS([1]Налоги!AE$15:AE$29,[1]Налоги!$A$15:$A$29,$A82,[1]Налоги!$M$15:$M$29,$B82)</f>
        <v>0</v>
      </c>
      <c r="AG82" s="45">
        <f>SUMIFS([1]Налоги!AF$15:AF$29,[1]Налоги!$A$15:$A$29,$A82,[1]Налоги!$M$15:$M$29,$B82)</f>
        <v>0</v>
      </c>
      <c r="AH82" s="45">
        <f>SUMIFS([1]Налоги!AG$15:AG$29,[1]Налоги!$A$15:$A$29,$A82,[1]Налоги!$M$15:$M$29,$B82)</f>
        <v>0</v>
      </c>
      <c r="AI82" s="45">
        <f>SUMIFS([1]Налоги!AH$15:AH$29,[1]Налоги!$A$15:$A$29,$A82,[1]Налоги!$M$15:$M$29,$B82)</f>
        <v>0</v>
      </c>
      <c r="AJ82" s="45">
        <f>SUMIFS([1]Налоги!AI$15:AI$29,[1]Налоги!$A$15:$A$29,$A82,[1]Налоги!$M$15:$M$29,$B82)</f>
        <v>0</v>
      </c>
      <c r="AK82" s="45">
        <f>SUMIFS([1]Налоги!AJ$15:AJ$29,[1]Налоги!$A$15:$A$29,$A82,[1]Налоги!$M$15:$M$29,$B82)</f>
        <v>0</v>
      </c>
      <c r="AL82" s="45">
        <f>SUMIFS([1]Налоги!AK$15:AK$29,[1]Налоги!$A$15:$A$29,$A82,[1]Налоги!$M$15:$M$29,$B82)</f>
        <v>0</v>
      </c>
      <c r="AM82" s="45">
        <f>SUMIFS([1]Налоги!AL$15:AL$29,[1]Налоги!$A$15:$A$29,$A82,[1]Налоги!$M$15:$M$29,$B82)</f>
        <v>0</v>
      </c>
      <c r="AN82" s="45">
        <f t="shared" si="10"/>
        <v>0</v>
      </c>
      <c r="AO82" s="45">
        <f t="shared" si="8"/>
        <v>0</v>
      </c>
      <c r="AP82" s="45">
        <f t="shared" si="8"/>
        <v>0</v>
      </c>
      <c r="AQ82" s="45">
        <f t="shared" si="8"/>
        <v>0</v>
      </c>
      <c r="AR82" s="45">
        <f t="shared" si="8"/>
        <v>0</v>
      </c>
      <c r="AS82" s="45">
        <f t="shared" si="8"/>
        <v>0</v>
      </c>
      <c r="AT82" s="45">
        <f t="shared" si="8"/>
        <v>0</v>
      </c>
      <c r="AU82" s="45">
        <f t="shared" si="8"/>
        <v>0</v>
      </c>
      <c r="AV82" s="45">
        <f t="shared" si="8"/>
        <v>0</v>
      </c>
      <c r="AW82" s="45">
        <f t="shared" si="8"/>
        <v>0</v>
      </c>
      <c r="AX82" s="29"/>
      <c r="AY82" s="29"/>
      <c r="AZ82" s="29"/>
    </row>
    <row r="83" spans="1:52" ht="11.25" hidden="1" outlineLevel="1" x14ac:dyDescent="0.25">
      <c r="A83" s="21" t="str">
        <f t="shared" si="12"/>
        <v>1</v>
      </c>
      <c r="B83" s="1" t="s">
        <v>26</v>
      </c>
      <c r="D83" s="1" t="s">
        <v>271</v>
      </c>
      <c r="L83" s="32" t="s">
        <v>272</v>
      </c>
      <c r="M83" s="42" t="s">
        <v>273</v>
      </c>
      <c r="N83" s="34" t="s">
        <v>16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f>SUMIFS([1]Налоги!AD$15:AD$29,[1]Налоги!$A$15:$A$29,$A83,[1]Налоги!$M$15:$M$29,$B83)</f>
        <v>0</v>
      </c>
      <c r="AF83" s="45">
        <f>SUMIFS([1]Налоги!AE$15:AE$29,[1]Налоги!$A$15:$A$29,$A83,[1]Налоги!$M$15:$M$29,$B83)</f>
        <v>0</v>
      </c>
      <c r="AG83" s="45">
        <f>SUMIFS([1]Налоги!AF$15:AF$29,[1]Налоги!$A$15:$A$29,$A83,[1]Налоги!$M$15:$M$29,$B83)</f>
        <v>0</v>
      </c>
      <c r="AH83" s="45">
        <f>SUMIFS([1]Налоги!AG$15:AG$29,[1]Налоги!$A$15:$A$29,$A83,[1]Налоги!$M$15:$M$29,$B83)</f>
        <v>0</v>
      </c>
      <c r="AI83" s="45">
        <f>SUMIFS([1]Налоги!AH$15:AH$29,[1]Налоги!$A$15:$A$29,$A83,[1]Налоги!$M$15:$M$29,$B83)</f>
        <v>0</v>
      </c>
      <c r="AJ83" s="45">
        <f>SUMIFS([1]Налоги!AI$15:AI$29,[1]Налоги!$A$15:$A$29,$A83,[1]Налоги!$M$15:$M$29,$B83)</f>
        <v>0</v>
      </c>
      <c r="AK83" s="45">
        <f>SUMIFS([1]Налоги!AJ$15:AJ$29,[1]Налоги!$A$15:$A$29,$A83,[1]Налоги!$M$15:$M$29,$B83)</f>
        <v>0</v>
      </c>
      <c r="AL83" s="45">
        <f>SUMIFS([1]Налоги!AK$15:AK$29,[1]Налоги!$A$15:$A$29,$A83,[1]Налоги!$M$15:$M$29,$B83)</f>
        <v>0</v>
      </c>
      <c r="AM83" s="45">
        <f>SUMIFS([1]Налоги!AL$15:AL$29,[1]Налоги!$A$15:$A$29,$A83,[1]Налоги!$M$15:$M$29,$B83)</f>
        <v>0</v>
      </c>
      <c r="AN83" s="45">
        <f t="shared" si="10"/>
        <v>0</v>
      </c>
      <c r="AO83" s="45">
        <f t="shared" ref="AO83:AW110" si="13">IF(AD83=0,0,(AE83-AD83)/AD83*100)</f>
        <v>0</v>
      </c>
      <c r="AP83" s="45">
        <f t="shared" si="13"/>
        <v>0</v>
      </c>
      <c r="AQ83" s="45">
        <f t="shared" si="13"/>
        <v>0</v>
      </c>
      <c r="AR83" s="45">
        <f t="shared" si="13"/>
        <v>0</v>
      </c>
      <c r="AS83" s="45">
        <f t="shared" si="13"/>
        <v>0</v>
      </c>
      <c r="AT83" s="45">
        <f t="shared" si="13"/>
        <v>0</v>
      </c>
      <c r="AU83" s="45">
        <f t="shared" si="13"/>
        <v>0</v>
      </c>
      <c r="AV83" s="45">
        <f t="shared" si="13"/>
        <v>0</v>
      </c>
      <c r="AW83" s="45">
        <f t="shared" si="13"/>
        <v>0</v>
      </c>
      <c r="AX83" s="29"/>
      <c r="AY83" s="29"/>
      <c r="AZ83" s="29"/>
    </row>
    <row r="84" spans="1:52" ht="11.25" outlineLevel="1" x14ac:dyDescent="0.25">
      <c r="A84" s="21" t="str">
        <f t="shared" si="12"/>
        <v>1</v>
      </c>
      <c r="B84" s="1" t="s">
        <v>274</v>
      </c>
      <c r="D84" s="1" t="s">
        <v>275</v>
      </c>
      <c r="L84" s="32" t="s">
        <v>276</v>
      </c>
      <c r="M84" s="42" t="s">
        <v>277</v>
      </c>
      <c r="N84" s="34" t="s">
        <v>16</v>
      </c>
      <c r="O84" s="45">
        <v>39.770000000000003</v>
      </c>
      <c r="P84" s="45">
        <v>34.017000000000003</v>
      </c>
      <c r="Q84" s="45">
        <v>34.017000000000003</v>
      </c>
      <c r="R84" s="45">
        <v>0</v>
      </c>
      <c r="S84" s="45">
        <v>40</v>
      </c>
      <c r="T84" s="45">
        <v>35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35</v>
      </c>
      <c r="AE84" s="45">
        <f>SUMIFS([1]Налоги!AD$15:AD$29,[1]Налоги!$A$15:$A$29,$A84,[1]Налоги!$M$15:$M$29,$B84)</f>
        <v>0</v>
      </c>
      <c r="AF84" s="45">
        <f>SUMIFS([1]Налоги!AE$15:AE$29,[1]Налоги!$A$15:$A$29,$A84,[1]Налоги!$M$15:$M$29,$B84)</f>
        <v>0</v>
      </c>
      <c r="AG84" s="45">
        <f>SUMIFS([1]Налоги!AF$15:AF$29,[1]Налоги!$A$15:$A$29,$A84,[1]Налоги!$M$15:$M$29,$B84)</f>
        <v>0</v>
      </c>
      <c r="AH84" s="45">
        <f>SUMIFS([1]Налоги!AG$15:AG$29,[1]Налоги!$A$15:$A$29,$A84,[1]Налоги!$M$15:$M$29,$B84)</f>
        <v>0</v>
      </c>
      <c r="AI84" s="45">
        <f>SUMIFS([1]Налоги!AH$15:AH$29,[1]Налоги!$A$15:$A$29,$A84,[1]Налоги!$M$15:$M$29,$B84)</f>
        <v>0</v>
      </c>
      <c r="AJ84" s="45">
        <f>SUMIFS([1]Налоги!AI$15:AI$29,[1]Налоги!$A$15:$A$29,$A84,[1]Налоги!$M$15:$M$29,$B84)</f>
        <v>0</v>
      </c>
      <c r="AK84" s="45">
        <f>SUMIFS([1]Налоги!AJ$15:AJ$29,[1]Налоги!$A$15:$A$29,$A84,[1]Налоги!$M$15:$M$29,$B84)</f>
        <v>0</v>
      </c>
      <c r="AL84" s="45">
        <f>SUMIFS([1]Налоги!AK$15:AK$29,[1]Налоги!$A$15:$A$29,$A84,[1]Налоги!$M$15:$M$29,$B84)</f>
        <v>0</v>
      </c>
      <c r="AM84" s="45">
        <f>SUMIFS([1]Налоги!AL$15:AL$29,[1]Налоги!$A$15:$A$29,$A84,[1]Налоги!$M$15:$M$29,$B84)</f>
        <v>0</v>
      </c>
      <c r="AN84" s="45">
        <f t="shared" si="10"/>
        <v>-12.5</v>
      </c>
      <c r="AO84" s="45">
        <f t="shared" si="13"/>
        <v>-100</v>
      </c>
      <c r="AP84" s="45">
        <f t="shared" si="13"/>
        <v>0</v>
      </c>
      <c r="AQ84" s="45">
        <f t="shared" si="13"/>
        <v>0</v>
      </c>
      <c r="AR84" s="45">
        <f t="shared" si="13"/>
        <v>0</v>
      </c>
      <c r="AS84" s="45">
        <f t="shared" si="13"/>
        <v>0</v>
      </c>
      <c r="AT84" s="45">
        <f t="shared" si="13"/>
        <v>0</v>
      </c>
      <c r="AU84" s="45">
        <f t="shared" si="13"/>
        <v>0</v>
      </c>
      <c r="AV84" s="45">
        <f t="shared" si="13"/>
        <v>0</v>
      </c>
      <c r="AW84" s="45">
        <f t="shared" si="13"/>
        <v>0</v>
      </c>
      <c r="AX84" s="29"/>
      <c r="AY84" s="29"/>
      <c r="AZ84" s="29"/>
    </row>
    <row r="85" spans="1:52" ht="11.25" outlineLevel="1" x14ac:dyDescent="0.25">
      <c r="A85" s="21" t="str">
        <f t="shared" si="12"/>
        <v>1</v>
      </c>
      <c r="B85" s="1" t="s">
        <v>278</v>
      </c>
      <c r="D85" s="1" t="s">
        <v>279</v>
      </c>
      <c r="L85" s="32" t="s">
        <v>280</v>
      </c>
      <c r="M85" s="42" t="s">
        <v>281</v>
      </c>
      <c r="N85" s="34" t="s">
        <v>16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f>SUMIFS([1]Налоги!AD$15:AD$29,[1]Налоги!$A$15:$A$29,$A85,[1]Налоги!$M$15:$M$29,$B85)</f>
        <v>0</v>
      </c>
      <c r="AF85" s="45">
        <f>SUMIFS([1]Налоги!AE$15:AE$29,[1]Налоги!$A$15:$A$29,$A85,[1]Налоги!$M$15:$M$29,$B85)</f>
        <v>0</v>
      </c>
      <c r="AG85" s="45">
        <f>SUMIFS([1]Налоги!AF$15:AF$29,[1]Налоги!$A$15:$A$29,$A85,[1]Налоги!$M$15:$M$29,$B85)</f>
        <v>0</v>
      </c>
      <c r="AH85" s="45">
        <f>SUMIFS([1]Налоги!AG$15:AG$29,[1]Налоги!$A$15:$A$29,$A85,[1]Налоги!$M$15:$M$29,$B85)</f>
        <v>0</v>
      </c>
      <c r="AI85" s="45">
        <f>SUMIFS([1]Налоги!AH$15:AH$29,[1]Налоги!$A$15:$A$29,$A85,[1]Налоги!$M$15:$M$29,$B85)</f>
        <v>0</v>
      </c>
      <c r="AJ85" s="45">
        <f>SUMIFS([1]Налоги!AI$15:AI$29,[1]Налоги!$A$15:$A$29,$A85,[1]Налоги!$M$15:$M$29,$B85)</f>
        <v>0</v>
      </c>
      <c r="AK85" s="45">
        <f>SUMIFS([1]Налоги!AJ$15:AJ$29,[1]Налоги!$A$15:$A$29,$A85,[1]Налоги!$M$15:$M$29,$B85)</f>
        <v>0</v>
      </c>
      <c r="AL85" s="45">
        <f>SUMIFS([1]Налоги!AK$15:AK$29,[1]Налоги!$A$15:$A$29,$A85,[1]Налоги!$M$15:$M$29,$B85)</f>
        <v>0</v>
      </c>
      <c r="AM85" s="45">
        <f>SUMIFS([1]Налоги!AL$15:AL$29,[1]Налоги!$A$15:$A$29,$A85,[1]Налоги!$M$15:$M$29,$B85)</f>
        <v>0</v>
      </c>
      <c r="AN85" s="45">
        <f t="shared" si="10"/>
        <v>0</v>
      </c>
      <c r="AO85" s="45">
        <f t="shared" si="13"/>
        <v>0</v>
      </c>
      <c r="AP85" s="45">
        <f t="shared" si="13"/>
        <v>0</v>
      </c>
      <c r="AQ85" s="45">
        <f t="shared" si="13"/>
        <v>0</v>
      </c>
      <c r="AR85" s="45">
        <f t="shared" si="13"/>
        <v>0</v>
      </c>
      <c r="AS85" s="45">
        <f t="shared" si="13"/>
        <v>0</v>
      </c>
      <c r="AT85" s="45">
        <f t="shared" si="13"/>
        <v>0</v>
      </c>
      <c r="AU85" s="45">
        <f t="shared" si="13"/>
        <v>0</v>
      </c>
      <c r="AV85" s="45">
        <f t="shared" si="13"/>
        <v>0</v>
      </c>
      <c r="AW85" s="45">
        <f t="shared" si="13"/>
        <v>0</v>
      </c>
      <c r="AX85" s="29"/>
      <c r="AY85" s="29"/>
      <c r="AZ85" s="29"/>
    </row>
    <row r="86" spans="1:52" ht="11.25" outlineLevel="1" x14ac:dyDescent="0.25">
      <c r="A86" s="21" t="str">
        <f t="shared" si="12"/>
        <v>1</v>
      </c>
      <c r="B86" s="1" t="s">
        <v>27</v>
      </c>
      <c r="D86" s="1" t="s">
        <v>282</v>
      </c>
      <c r="L86" s="32" t="s">
        <v>283</v>
      </c>
      <c r="M86" s="42" t="s">
        <v>284</v>
      </c>
      <c r="N86" s="34" t="s">
        <v>16</v>
      </c>
      <c r="O86" s="45">
        <v>1.02</v>
      </c>
      <c r="P86" s="45">
        <v>4.4880000000000004</v>
      </c>
      <c r="Q86" s="45">
        <v>1.02</v>
      </c>
      <c r="R86" s="45">
        <v>-3.4680000000000004</v>
      </c>
      <c r="S86" s="45">
        <v>1.02</v>
      </c>
      <c r="T86" s="45">
        <v>4.4880000000000004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4.4800000000000004</v>
      </c>
      <c r="AE86" s="45">
        <f>SUMIFS([1]Налоги!AD$15:AD$29,[1]Налоги!$A$15:$A$29,$A86,[1]Налоги!$M$15:$M$29,$B86)</f>
        <v>0</v>
      </c>
      <c r="AF86" s="45">
        <f>SUMIFS([1]Налоги!AE$15:AE$29,[1]Налоги!$A$15:$A$29,$A86,[1]Налоги!$M$15:$M$29,$B86)</f>
        <v>0</v>
      </c>
      <c r="AG86" s="45">
        <f>SUMIFS([1]Налоги!AF$15:AF$29,[1]Налоги!$A$15:$A$29,$A86,[1]Налоги!$M$15:$M$29,$B86)</f>
        <v>0</v>
      </c>
      <c r="AH86" s="45">
        <f>SUMIFS([1]Налоги!AG$15:AG$29,[1]Налоги!$A$15:$A$29,$A86,[1]Налоги!$M$15:$M$29,$B86)</f>
        <v>0</v>
      </c>
      <c r="AI86" s="45">
        <f>SUMIFS([1]Налоги!AH$15:AH$29,[1]Налоги!$A$15:$A$29,$A86,[1]Налоги!$M$15:$M$29,$B86)</f>
        <v>0</v>
      </c>
      <c r="AJ86" s="45">
        <f>SUMIFS([1]Налоги!AI$15:AI$29,[1]Налоги!$A$15:$A$29,$A86,[1]Налоги!$M$15:$M$29,$B86)</f>
        <v>0</v>
      </c>
      <c r="AK86" s="45">
        <f>SUMIFS([1]Налоги!AJ$15:AJ$29,[1]Налоги!$A$15:$A$29,$A86,[1]Налоги!$M$15:$M$29,$B86)</f>
        <v>0</v>
      </c>
      <c r="AL86" s="45">
        <f>SUMIFS([1]Налоги!AK$15:AK$29,[1]Налоги!$A$15:$A$29,$A86,[1]Налоги!$M$15:$M$29,$B86)</f>
        <v>0</v>
      </c>
      <c r="AM86" s="45">
        <f>SUMIFS([1]Налоги!AL$15:AL$29,[1]Налоги!$A$15:$A$29,$A86,[1]Налоги!$M$15:$M$29,$B86)</f>
        <v>0</v>
      </c>
      <c r="AN86" s="45">
        <f t="shared" si="10"/>
        <v>339.21568627450984</v>
      </c>
      <c r="AO86" s="45">
        <f t="shared" si="13"/>
        <v>-100</v>
      </c>
      <c r="AP86" s="45">
        <f t="shared" si="13"/>
        <v>0</v>
      </c>
      <c r="AQ86" s="45">
        <f t="shared" si="13"/>
        <v>0</v>
      </c>
      <c r="AR86" s="45">
        <f t="shared" si="13"/>
        <v>0</v>
      </c>
      <c r="AS86" s="45">
        <f t="shared" si="13"/>
        <v>0</v>
      </c>
      <c r="AT86" s="45">
        <f t="shared" si="13"/>
        <v>0</v>
      </c>
      <c r="AU86" s="45">
        <f t="shared" si="13"/>
        <v>0</v>
      </c>
      <c r="AV86" s="45">
        <f t="shared" si="13"/>
        <v>0</v>
      </c>
      <c r="AW86" s="45">
        <f t="shared" si="13"/>
        <v>0</v>
      </c>
      <c r="AX86" s="29"/>
      <c r="AY86" s="29"/>
      <c r="AZ86" s="29"/>
    </row>
    <row r="87" spans="1:52" ht="11.25" hidden="1" outlineLevel="1" x14ac:dyDescent="0.25">
      <c r="A87" s="21" t="str">
        <f t="shared" si="12"/>
        <v>1</v>
      </c>
      <c r="B87" s="1" t="s">
        <v>25</v>
      </c>
      <c r="D87" s="1" t="s">
        <v>285</v>
      </c>
      <c r="L87" s="32" t="s">
        <v>286</v>
      </c>
      <c r="M87" s="42" t="s">
        <v>287</v>
      </c>
      <c r="N87" s="34" t="s">
        <v>16</v>
      </c>
      <c r="O87" s="49">
        <v>0</v>
      </c>
      <c r="P87" s="49">
        <v>0</v>
      </c>
      <c r="Q87" s="49">
        <v>0</v>
      </c>
      <c r="R87" s="45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f>SUMIFS([1]Налоги!AD$15:AD$29,[1]Налоги!$A$15:$A$29,$A87,[1]Налоги!$M$15:$M$29,$B87)</f>
        <v>0</v>
      </c>
      <c r="AF87" s="49">
        <f>SUMIFS([1]Налоги!AE$15:AE$29,[1]Налоги!$A$15:$A$29,$A87,[1]Налоги!$M$15:$M$29,$B87)</f>
        <v>0</v>
      </c>
      <c r="AG87" s="49">
        <f>SUMIFS([1]Налоги!AF$15:AF$29,[1]Налоги!$A$15:$A$29,$A87,[1]Налоги!$M$15:$M$29,$B87)</f>
        <v>0</v>
      </c>
      <c r="AH87" s="49">
        <f>SUMIFS([1]Налоги!AG$15:AG$29,[1]Налоги!$A$15:$A$29,$A87,[1]Налоги!$M$15:$M$29,$B87)</f>
        <v>0</v>
      </c>
      <c r="AI87" s="49">
        <f>SUMIFS([1]Налоги!AH$15:AH$29,[1]Налоги!$A$15:$A$29,$A87,[1]Налоги!$M$15:$M$29,$B87)</f>
        <v>0</v>
      </c>
      <c r="AJ87" s="49">
        <f>SUMIFS([1]Налоги!AI$15:AI$29,[1]Налоги!$A$15:$A$29,$A87,[1]Налоги!$M$15:$M$29,$B87)</f>
        <v>0</v>
      </c>
      <c r="AK87" s="49">
        <f>SUMIFS([1]Налоги!AJ$15:AJ$29,[1]Налоги!$A$15:$A$29,$A87,[1]Налоги!$M$15:$M$29,$B87)</f>
        <v>0</v>
      </c>
      <c r="AL87" s="49">
        <f>SUMIFS([1]Налоги!AK$15:AK$29,[1]Налоги!$A$15:$A$29,$A87,[1]Налоги!$M$15:$M$29,$B87)</f>
        <v>0</v>
      </c>
      <c r="AM87" s="49">
        <f>SUMIFS([1]Налоги!AL$15:AL$29,[1]Налоги!$A$15:$A$29,$A87,[1]Налоги!$M$15:$M$29,$B87)</f>
        <v>0</v>
      </c>
      <c r="AN87" s="45">
        <f t="shared" si="10"/>
        <v>0</v>
      </c>
      <c r="AO87" s="45">
        <f t="shared" si="13"/>
        <v>0</v>
      </c>
      <c r="AP87" s="45">
        <f t="shared" si="13"/>
        <v>0</v>
      </c>
      <c r="AQ87" s="45">
        <f t="shared" si="13"/>
        <v>0</v>
      </c>
      <c r="AR87" s="45">
        <f t="shared" si="13"/>
        <v>0</v>
      </c>
      <c r="AS87" s="45">
        <f t="shared" si="13"/>
        <v>0</v>
      </c>
      <c r="AT87" s="45">
        <f t="shared" si="13"/>
        <v>0</v>
      </c>
      <c r="AU87" s="45">
        <f t="shared" si="13"/>
        <v>0</v>
      </c>
      <c r="AV87" s="45">
        <f t="shared" si="13"/>
        <v>0</v>
      </c>
      <c r="AW87" s="45">
        <f t="shared" si="13"/>
        <v>0</v>
      </c>
      <c r="AX87" s="29"/>
      <c r="AY87" s="29"/>
      <c r="AZ87" s="29"/>
    </row>
    <row r="88" spans="1:52" ht="11.25" hidden="1" outlineLevel="1" x14ac:dyDescent="0.25">
      <c r="A88" s="21" t="str">
        <f t="shared" si="12"/>
        <v>1</v>
      </c>
      <c r="B88" s="1" t="s">
        <v>288</v>
      </c>
      <c r="D88" s="1" t="s">
        <v>289</v>
      </c>
      <c r="L88" s="32" t="s">
        <v>290</v>
      </c>
      <c r="M88" s="42" t="s">
        <v>291</v>
      </c>
      <c r="N88" s="34" t="s">
        <v>16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</v>
      </c>
      <c r="AE88" s="45">
        <f>SUMIFS([1]Налоги!AD$15:AD$29,[1]Налоги!$A$15:$A$29,$A88,[1]Налоги!$M$15:$M$29,$B88)</f>
        <v>0</v>
      </c>
      <c r="AF88" s="45">
        <f>SUMIFS([1]Налоги!AE$15:AE$29,[1]Налоги!$A$15:$A$29,$A88,[1]Налоги!$M$15:$M$29,$B88)</f>
        <v>0</v>
      </c>
      <c r="AG88" s="45">
        <f>SUMIFS([1]Налоги!AF$15:AF$29,[1]Налоги!$A$15:$A$29,$A88,[1]Налоги!$M$15:$M$29,$B88)</f>
        <v>0</v>
      </c>
      <c r="AH88" s="45">
        <f>SUMIFS([1]Налоги!AG$15:AG$29,[1]Налоги!$A$15:$A$29,$A88,[1]Налоги!$M$15:$M$29,$B88)</f>
        <v>0</v>
      </c>
      <c r="AI88" s="45">
        <f>SUMIFS([1]Налоги!AH$15:AH$29,[1]Налоги!$A$15:$A$29,$A88,[1]Налоги!$M$15:$M$29,$B88)</f>
        <v>0</v>
      </c>
      <c r="AJ88" s="45">
        <f>SUMIFS([1]Налоги!AI$15:AI$29,[1]Налоги!$A$15:$A$29,$A88,[1]Налоги!$M$15:$M$29,$B88)</f>
        <v>0</v>
      </c>
      <c r="AK88" s="45">
        <f>SUMIFS([1]Налоги!AJ$15:AJ$29,[1]Налоги!$A$15:$A$29,$A88,[1]Налоги!$M$15:$M$29,$B88)</f>
        <v>0</v>
      </c>
      <c r="AL88" s="45">
        <f>SUMIFS([1]Налоги!AK$15:AK$29,[1]Налоги!$A$15:$A$29,$A88,[1]Налоги!$M$15:$M$29,$B88)</f>
        <v>0</v>
      </c>
      <c r="AM88" s="45">
        <f>SUMIFS([1]Налоги!AL$15:AL$29,[1]Налоги!$A$15:$A$29,$A88,[1]Налоги!$M$15:$M$29,$B88)</f>
        <v>0</v>
      </c>
      <c r="AN88" s="45">
        <f t="shared" si="10"/>
        <v>0</v>
      </c>
      <c r="AO88" s="45">
        <f t="shared" si="13"/>
        <v>0</v>
      </c>
      <c r="AP88" s="45">
        <f t="shared" si="13"/>
        <v>0</v>
      </c>
      <c r="AQ88" s="45">
        <f t="shared" si="13"/>
        <v>0</v>
      </c>
      <c r="AR88" s="45">
        <f t="shared" si="13"/>
        <v>0</v>
      </c>
      <c r="AS88" s="45">
        <f t="shared" si="13"/>
        <v>0</v>
      </c>
      <c r="AT88" s="45">
        <f t="shared" si="13"/>
        <v>0</v>
      </c>
      <c r="AU88" s="45">
        <f t="shared" si="13"/>
        <v>0</v>
      </c>
      <c r="AV88" s="45">
        <f t="shared" si="13"/>
        <v>0</v>
      </c>
      <c r="AW88" s="45">
        <f t="shared" si="13"/>
        <v>0</v>
      </c>
      <c r="AX88" s="29"/>
      <c r="AY88" s="29"/>
      <c r="AZ88" s="29"/>
    </row>
    <row r="89" spans="1:52" ht="11.25" hidden="1" outlineLevel="1" x14ac:dyDescent="0.25">
      <c r="A89" s="21" t="str">
        <f t="shared" si="12"/>
        <v>1</v>
      </c>
      <c r="B89" s="1" t="s">
        <v>28</v>
      </c>
      <c r="D89" s="1" t="s">
        <v>292</v>
      </c>
      <c r="L89" s="32" t="s">
        <v>293</v>
      </c>
      <c r="M89" s="69" t="s">
        <v>294</v>
      </c>
      <c r="N89" s="34" t="s">
        <v>16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f>SUMIFS([1]Налоги!AD$15:AD$29,[1]Налоги!$A$15:$A$29,$A89,[1]Налоги!$M$15:$M$29,$B89)</f>
        <v>0</v>
      </c>
      <c r="AF89" s="45">
        <f>SUMIFS([1]Налоги!AE$15:AE$29,[1]Налоги!$A$15:$A$29,$A89,[1]Налоги!$M$15:$M$29,$B89)</f>
        <v>0</v>
      </c>
      <c r="AG89" s="45">
        <f>SUMIFS([1]Налоги!AF$15:AF$29,[1]Налоги!$A$15:$A$29,$A89,[1]Налоги!$M$15:$M$29,$B89)</f>
        <v>0</v>
      </c>
      <c r="AH89" s="45">
        <f>SUMIFS([1]Налоги!AG$15:AG$29,[1]Налоги!$A$15:$A$29,$A89,[1]Налоги!$M$15:$M$29,$B89)</f>
        <v>0</v>
      </c>
      <c r="AI89" s="45">
        <f>SUMIFS([1]Налоги!AH$15:AH$29,[1]Налоги!$A$15:$A$29,$A89,[1]Налоги!$M$15:$M$29,$B89)</f>
        <v>0</v>
      </c>
      <c r="AJ89" s="45">
        <f>SUMIFS([1]Налоги!AI$15:AI$29,[1]Налоги!$A$15:$A$29,$A89,[1]Налоги!$M$15:$M$29,$B89)</f>
        <v>0</v>
      </c>
      <c r="AK89" s="45">
        <f>SUMIFS([1]Налоги!AJ$15:AJ$29,[1]Налоги!$A$15:$A$29,$A89,[1]Налоги!$M$15:$M$29,$B89)</f>
        <v>0</v>
      </c>
      <c r="AL89" s="45">
        <f>SUMIFS([1]Налоги!AK$15:AK$29,[1]Налоги!$A$15:$A$29,$A89,[1]Налоги!$M$15:$M$29,$B89)</f>
        <v>0</v>
      </c>
      <c r="AM89" s="45">
        <f>SUMIFS([1]Налоги!AL$15:AL$29,[1]Налоги!$A$15:$A$29,$A89,[1]Налоги!$M$15:$M$29,$B89)</f>
        <v>0</v>
      </c>
      <c r="AN89" s="45">
        <f t="shared" si="10"/>
        <v>0</v>
      </c>
      <c r="AO89" s="45">
        <f t="shared" si="13"/>
        <v>0</v>
      </c>
      <c r="AP89" s="45">
        <f t="shared" si="13"/>
        <v>0</v>
      </c>
      <c r="AQ89" s="45">
        <f t="shared" si="13"/>
        <v>0</v>
      </c>
      <c r="AR89" s="45">
        <f t="shared" si="13"/>
        <v>0</v>
      </c>
      <c r="AS89" s="45">
        <f t="shared" si="13"/>
        <v>0</v>
      </c>
      <c r="AT89" s="45">
        <f t="shared" si="13"/>
        <v>0</v>
      </c>
      <c r="AU89" s="45">
        <f t="shared" si="13"/>
        <v>0</v>
      </c>
      <c r="AV89" s="45">
        <f t="shared" si="13"/>
        <v>0</v>
      </c>
      <c r="AW89" s="45">
        <f t="shared" si="13"/>
        <v>0</v>
      </c>
      <c r="AX89" s="29"/>
      <c r="AY89" s="29"/>
      <c r="AZ89" s="29"/>
    </row>
    <row r="90" spans="1:52" ht="67.5" hidden="1" outlineLevel="1" x14ac:dyDescent="0.25">
      <c r="A90" s="21" t="str">
        <f t="shared" si="12"/>
        <v>1</v>
      </c>
      <c r="B90" s="1" t="s">
        <v>295</v>
      </c>
      <c r="D90" s="1" t="s">
        <v>296</v>
      </c>
      <c r="L90" s="32" t="s">
        <v>297</v>
      </c>
      <c r="M90" s="70" t="s">
        <v>298</v>
      </c>
      <c r="N90" s="34" t="s">
        <v>16</v>
      </c>
      <c r="O90" s="71"/>
      <c r="P90" s="71"/>
      <c r="Q90" s="71"/>
      <c r="R90" s="45">
        <v>0</v>
      </c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45">
        <f t="shared" si="10"/>
        <v>0</v>
      </c>
      <c r="AO90" s="45">
        <f t="shared" si="13"/>
        <v>0</v>
      </c>
      <c r="AP90" s="45">
        <f t="shared" si="13"/>
        <v>0</v>
      </c>
      <c r="AQ90" s="45">
        <f t="shared" si="13"/>
        <v>0</v>
      </c>
      <c r="AR90" s="45">
        <f t="shared" si="13"/>
        <v>0</v>
      </c>
      <c r="AS90" s="45">
        <f t="shared" si="13"/>
        <v>0</v>
      </c>
      <c r="AT90" s="45">
        <f t="shared" si="13"/>
        <v>0</v>
      </c>
      <c r="AU90" s="45">
        <f t="shared" si="13"/>
        <v>0</v>
      </c>
      <c r="AV90" s="45">
        <f t="shared" si="13"/>
        <v>0</v>
      </c>
      <c r="AW90" s="45">
        <f t="shared" si="13"/>
        <v>0</v>
      </c>
      <c r="AX90" s="29"/>
      <c r="AY90" s="29"/>
      <c r="AZ90" s="29"/>
    </row>
    <row r="91" spans="1:52" ht="11.25" hidden="1" outlineLevel="1" x14ac:dyDescent="0.25">
      <c r="A91" s="21" t="str">
        <f t="shared" si="12"/>
        <v>1</v>
      </c>
      <c r="B91" s="1" t="s">
        <v>299</v>
      </c>
      <c r="D91" s="1" t="s">
        <v>300</v>
      </c>
      <c r="L91" s="32" t="s">
        <v>301</v>
      </c>
      <c r="M91" s="33" t="s">
        <v>299</v>
      </c>
      <c r="N91" s="34" t="s">
        <v>16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f>SUMIFS([1]Аренда!AD$15:AD$24,[1]Аренда!$A$15:$A$24,$A91,[1]Аренда!$M$15:$M$24,"Арендная и концессионная плата. Лизинговые платежи")</f>
        <v>0</v>
      </c>
      <c r="AF91" s="45">
        <f>SUMIFS([1]Аренда!AE$15:AE$24,[1]Аренда!$A$15:$A$24,$A91,[1]Аренда!$M$15:$M$24,"Арендная и концессионная плата. Лизинговые платежи")</f>
        <v>0</v>
      </c>
      <c r="AG91" s="45">
        <f>SUMIFS([1]Аренда!AF$15:AF$24,[1]Аренда!$A$15:$A$24,$A91,[1]Аренда!$M$15:$M$24,"Арендная и концессионная плата. Лизинговые платежи")</f>
        <v>0</v>
      </c>
      <c r="AH91" s="45">
        <f>SUMIFS([1]Аренда!AG$15:AG$24,[1]Аренда!$A$15:$A$24,$A91,[1]Аренда!$M$15:$M$24,"Арендная и концессионная плата. Лизинговые платежи")</f>
        <v>0</v>
      </c>
      <c r="AI91" s="45">
        <f>SUMIFS([1]Аренда!AH$15:AH$24,[1]Аренда!$A$15:$A$24,$A91,[1]Аренда!$M$15:$M$24,"Арендная и концессионная плата. Лизинговые платежи")</f>
        <v>0</v>
      </c>
      <c r="AJ91" s="45">
        <f>SUMIFS([1]Аренда!AI$15:AI$24,[1]Аренда!$A$15:$A$24,$A91,[1]Аренда!$M$15:$M$24,"Арендная и концессионная плата. Лизинговые платежи")</f>
        <v>0</v>
      </c>
      <c r="AK91" s="45">
        <f>SUMIFS([1]Аренда!AJ$15:AJ$24,[1]Аренда!$A$15:$A$24,$A91,[1]Аренда!$M$15:$M$24,"Арендная и концессионная плата. Лизинговые платежи")</f>
        <v>0</v>
      </c>
      <c r="AL91" s="45">
        <f>SUMIFS([1]Аренда!AK$15:AK$24,[1]Аренда!$A$15:$A$24,$A91,[1]Аренда!$M$15:$M$24,"Арендная и концессионная плата. Лизинговые платежи")</f>
        <v>0</v>
      </c>
      <c r="AM91" s="45">
        <f>SUMIFS([1]Аренда!AL$15:AL$24,[1]Аренда!$A$15:$A$24,$A91,[1]Аренда!$M$15:$M$24,"Арендная и концессионная плата. Лизинговые платежи")</f>
        <v>0</v>
      </c>
      <c r="AN91" s="45">
        <f t="shared" si="10"/>
        <v>0</v>
      </c>
      <c r="AO91" s="45">
        <f t="shared" si="13"/>
        <v>0</v>
      </c>
      <c r="AP91" s="45">
        <f t="shared" si="13"/>
        <v>0</v>
      </c>
      <c r="AQ91" s="45">
        <f t="shared" si="13"/>
        <v>0</v>
      </c>
      <c r="AR91" s="45">
        <f t="shared" si="13"/>
        <v>0</v>
      </c>
      <c r="AS91" s="45">
        <f t="shared" si="13"/>
        <v>0</v>
      </c>
      <c r="AT91" s="45">
        <f t="shared" si="13"/>
        <v>0</v>
      </c>
      <c r="AU91" s="45">
        <f t="shared" si="13"/>
        <v>0</v>
      </c>
      <c r="AV91" s="45">
        <f t="shared" si="13"/>
        <v>0</v>
      </c>
      <c r="AW91" s="45">
        <f t="shared" si="13"/>
        <v>0</v>
      </c>
      <c r="AX91" s="29"/>
      <c r="AY91" s="29"/>
      <c r="AZ91" s="29"/>
    </row>
    <row r="92" spans="1:52" ht="11.25" hidden="1" outlineLevel="1" x14ac:dyDescent="0.25">
      <c r="A92" s="21" t="str">
        <f t="shared" si="12"/>
        <v>1</v>
      </c>
      <c r="D92" s="1" t="s">
        <v>302</v>
      </c>
      <c r="L92" s="32" t="s">
        <v>303</v>
      </c>
      <c r="M92" s="33" t="s">
        <v>29</v>
      </c>
      <c r="N92" s="34" t="s">
        <v>16</v>
      </c>
      <c r="O92" s="49"/>
      <c r="P92" s="49"/>
      <c r="Q92" s="49"/>
      <c r="R92" s="45">
        <v>0</v>
      </c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5">
        <f t="shared" si="10"/>
        <v>0</v>
      </c>
      <c r="AO92" s="45">
        <f t="shared" si="13"/>
        <v>0</v>
      </c>
      <c r="AP92" s="45">
        <f t="shared" si="13"/>
        <v>0</v>
      </c>
      <c r="AQ92" s="45">
        <f t="shared" si="13"/>
        <v>0</v>
      </c>
      <c r="AR92" s="45">
        <f t="shared" si="13"/>
        <v>0</v>
      </c>
      <c r="AS92" s="45">
        <f t="shared" si="13"/>
        <v>0</v>
      </c>
      <c r="AT92" s="45">
        <f t="shared" si="13"/>
        <v>0</v>
      </c>
      <c r="AU92" s="45">
        <f t="shared" si="13"/>
        <v>0</v>
      </c>
      <c r="AV92" s="45">
        <f t="shared" si="13"/>
        <v>0</v>
      </c>
      <c r="AW92" s="45">
        <f t="shared" si="13"/>
        <v>0</v>
      </c>
      <c r="AX92" s="29"/>
      <c r="AY92" s="29"/>
      <c r="AZ92" s="29"/>
    </row>
    <row r="93" spans="1:52" ht="11.25" hidden="1" outlineLevel="1" x14ac:dyDescent="0.25">
      <c r="A93" s="21" t="str">
        <f t="shared" si="12"/>
        <v>1</v>
      </c>
      <c r="B93" s="1" t="s">
        <v>304</v>
      </c>
      <c r="D93" s="1" t="s">
        <v>305</v>
      </c>
      <c r="L93" s="32" t="s">
        <v>306</v>
      </c>
      <c r="M93" s="42" t="s">
        <v>304</v>
      </c>
      <c r="N93" s="34" t="s">
        <v>16</v>
      </c>
      <c r="O93" s="49"/>
      <c r="P93" s="49"/>
      <c r="Q93" s="49"/>
      <c r="R93" s="45">
        <v>0</v>
      </c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5">
        <f t="shared" si="10"/>
        <v>0</v>
      </c>
      <c r="AO93" s="45">
        <f t="shared" si="13"/>
        <v>0</v>
      </c>
      <c r="AP93" s="45">
        <f t="shared" si="13"/>
        <v>0</v>
      </c>
      <c r="AQ93" s="45">
        <f t="shared" si="13"/>
        <v>0</v>
      </c>
      <c r="AR93" s="45">
        <f t="shared" si="13"/>
        <v>0</v>
      </c>
      <c r="AS93" s="45">
        <f t="shared" si="13"/>
        <v>0</v>
      </c>
      <c r="AT93" s="45">
        <f t="shared" si="13"/>
        <v>0</v>
      </c>
      <c r="AU93" s="45">
        <f t="shared" si="13"/>
        <v>0</v>
      </c>
      <c r="AV93" s="45">
        <f t="shared" si="13"/>
        <v>0</v>
      </c>
      <c r="AW93" s="45">
        <f t="shared" si="13"/>
        <v>0</v>
      </c>
      <c r="AX93" s="29"/>
      <c r="AY93" s="29"/>
      <c r="AZ93" s="29"/>
    </row>
    <row r="94" spans="1:52" ht="11.25" hidden="1" outlineLevel="1" x14ac:dyDescent="0.25">
      <c r="A94" s="21" t="str">
        <f t="shared" si="12"/>
        <v>1</v>
      </c>
      <c r="B94" s="1" t="s">
        <v>30</v>
      </c>
      <c r="D94" s="1" t="s">
        <v>307</v>
      </c>
      <c r="L94" s="32" t="s">
        <v>308</v>
      </c>
      <c r="M94" s="33" t="s">
        <v>30</v>
      </c>
      <c r="N94" s="34" t="s">
        <v>16</v>
      </c>
      <c r="O94" s="49"/>
      <c r="P94" s="49"/>
      <c r="Q94" s="49"/>
      <c r="R94" s="45">
        <v>0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49">
        <v>0</v>
      </c>
      <c r="AE94" s="49">
        <f>SUMIFS([1]Экономия_корр!Z$15:Z$24,[1]Экономия_корр!$A$15:$A$24,$A94,[1]Экономия_корр!$M$15:$M$24,"Экономия расходов с учетом ИПЦ")</f>
        <v>0</v>
      </c>
      <c r="AF94" s="49">
        <f>SUMIFS([1]Экономия_корр!AA$15:AA$24,[1]Экономия_корр!$A$15:$A$24,$A94,[1]Экономия_корр!$M$15:$M$24,"Экономия расходов с учетом ИПЦ")</f>
        <v>0</v>
      </c>
      <c r="AG94" s="49">
        <f>SUMIFS([1]Экономия_корр!AB$15:AB$24,[1]Экономия_корр!$A$15:$A$24,$A94,[1]Экономия_корр!$M$15:$M$24,"Экономия расходов с учетом ИПЦ")</f>
        <v>0</v>
      </c>
      <c r="AH94" s="49">
        <f>SUMIFS([1]Экономия_корр!AC$15:AC$24,[1]Экономия_корр!$A$15:$A$24,$A94,[1]Экономия_корр!$M$15:$M$24,"Экономия расходов с учетом ИПЦ")</f>
        <v>0</v>
      </c>
      <c r="AI94" s="49">
        <f>SUMIFS([1]Экономия_корр!AD$15:AD$24,[1]Экономия_корр!$A$15:$A$24,$A94,[1]Экономия_корр!$M$15:$M$24,"Экономия расходов с учетом ИПЦ")</f>
        <v>0</v>
      </c>
      <c r="AJ94" s="49">
        <f>SUMIFS([1]Экономия_корр!AE$15:AE$24,[1]Экономия_корр!$A$15:$A$24,$A94,[1]Экономия_корр!$M$15:$M$24,"Экономия расходов с учетом ИПЦ")</f>
        <v>0</v>
      </c>
      <c r="AK94" s="49">
        <f>SUMIFS([1]Экономия_корр!AF$15:AF$24,[1]Экономия_корр!$A$15:$A$24,$A94,[1]Экономия_корр!$M$15:$M$24,"Экономия расходов с учетом ИПЦ")</f>
        <v>0</v>
      </c>
      <c r="AL94" s="49">
        <f>SUMIFS([1]Экономия_корр!AG$15:AG$24,[1]Экономия_корр!$A$15:$A$24,$A94,[1]Экономия_корр!$M$15:$M$24,"Экономия расходов с учетом ИПЦ")</f>
        <v>0</v>
      </c>
      <c r="AM94" s="49">
        <f>SUMIFS([1]Экономия_корр!AH$15:AH$24,[1]Экономия_корр!$A$15:$A$24,$A94,[1]Экономия_корр!$M$15:$M$24,"Экономия расходов с учетом ИПЦ")</f>
        <v>0</v>
      </c>
      <c r="AN94" s="45">
        <f t="shared" si="10"/>
        <v>0</v>
      </c>
      <c r="AO94" s="45">
        <f t="shared" si="13"/>
        <v>0</v>
      </c>
      <c r="AP94" s="45">
        <f t="shared" si="13"/>
        <v>0</v>
      </c>
      <c r="AQ94" s="45">
        <f t="shared" si="13"/>
        <v>0</v>
      </c>
      <c r="AR94" s="45">
        <f t="shared" si="13"/>
        <v>0</v>
      </c>
      <c r="AS94" s="45">
        <f t="shared" si="13"/>
        <v>0</v>
      </c>
      <c r="AT94" s="45">
        <f t="shared" si="13"/>
        <v>0</v>
      </c>
      <c r="AU94" s="45">
        <f t="shared" si="13"/>
        <v>0</v>
      </c>
      <c r="AV94" s="45">
        <f t="shared" si="13"/>
        <v>0</v>
      </c>
      <c r="AW94" s="45">
        <f t="shared" si="13"/>
        <v>0</v>
      </c>
      <c r="AX94" s="29"/>
      <c r="AY94" s="29"/>
      <c r="AZ94" s="29"/>
    </row>
    <row r="95" spans="1:52" ht="11.25" hidden="1" outlineLevel="1" x14ac:dyDescent="0.25">
      <c r="A95" s="21" t="str">
        <f t="shared" si="12"/>
        <v>1</v>
      </c>
      <c r="B95" s="1" t="s">
        <v>31</v>
      </c>
      <c r="D95" s="1" t="s">
        <v>309</v>
      </c>
      <c r="L95" s="32" t="s">
        <v>310</v>
      </c>
      <c r="M95" s="33" t="s">
        <v>31</v>
      </c>
      <c r="N95" s="34" t="s">
        <v>16</v>
      </c>
      <c r="O95" s="49"/>
      <c r="P95" s="49"/>
      <c r="Q95" s="49"/>
      <c r="R95" s="45">
        <v>0</v>
      </c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5">
        <f t="shared" si="10"/>
        <v>0</v>
      </c>
      <c r="AO95" s="45">
        <f t="shared" si="13"/>
        <v>0</v>
      </c>
      <c r="AP95" s="45">
        <f t="shared" si="13"/>
        <v>0</v>
      </c>
      <c r="AQ95" s="45">
        <f t="shared" si="13"/>
        <v>0</v>
      </c>
      <c r="AR95" s="45">
        <f t="shared" si="13"/>
        <v>0</v>
      </c>
      <c r="AS95" s="45">
        <f t="shared" si="13"/>
        <v>0</v>
      </c>
      <c r="AT95" s="45">
        <f t="shared" si="13"/>
        <v>0</v>
      </c>
      <c r="AU95" s="45">
        <f t="shared" si="13"/>
        <v>0</v>
      </c>
      <c r="AV95" s="45">
        <f t="shared" si="13"/>
        <v>0</v>
      </c>
      <c r="AW95" s="45">
        <f t="shared" si="13"/>
        <v>0</v>
      </c>
      <c r="AX95" s="29"/>
      <c r="AY95" s="29"/>
      <c r="AZ95" s="29"/>
    </row>
    <row r="96" spans="1:52" ht="11.25" hidden="1" outlineLevel="1" x14ac:dyDescent="0.25">
      <c r="A96" s="21" t="str">
        <f t="shared" si="12"/>
        <v>1</v>
      </c>
      <c r="B96" s="1" t="s">
        <v>32</v>
      </c>
      <c r="D96" s="1" t="s">
        <v>311</v>
      </c>
      <c r="L96" s="32" t="s">
        <v>312</v>
      </c>
      <c r="M96" s="33" t="s">
        <v>32</v>
      </c>
      <c r="N96" s="34" t="s">
        <v>16</v>
      </c>
      <c r="O96" s="49"/>
      <c r="P96" s="49"/>
      <c r="Q96" s="49"/>
      <c r="R96" s="45">
        <v>0</v>
      </c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5">
        <f t="shared" si="10"/>
        <v>0</v>
      </c>
      <c r="AO96" s="45">
        <f t="shared" si="13"/>
        <v>0</v>
      </c>
      <c r="AP96" s="45">
        <f t="shared" si="13"/>
        <v>0</v>
      </c>
      <c r="AQ96" s="45">
        <f t="shared" si="13"/>
        <v>0</v>
      </c>
      <c r="AR96" s="45">
        <f t="shared" si="13"/>
        <v>0</v>
      </c>
      <c r="AS96" s="45">
        <f t="shared" si="13"/>
        <v>0</v>
      </c>
      <c r="AT96" s="45">
        <f t="shared" si="13"/>
        <v>0</v>
      </c>
      <c r="AU96" s="45">
        <f t="shared" si="13"/>
        <v>0</v>
      </c>
      <c r="AV96" s="45">
        <f t="shared" si="13"/>
        <v>0</v>
      </c>
      <c r="AW96" s="45">
        <f t="shared" si="13"/>
        <v>0</v>
      </c>
      <c r="AX96" s="29"/>
      <c r="AY96" s="29"/>
      <c r="AZ96" s="29"/>
    </row>
    <row r="97" spans="1:52" ht="11.25" hidden="1" outlineLevel="1" x14ac:dyDescent="0.25">
      <c r="A97" s="21" t="str">
        <f t="shared" si="12"/>
        <v>1</v>
      </c>
      <c r="B97" s="1" t="s">
        <v>33</v>
      </c>
      <c r="D97" s="1" t="s">
        <v>313</v>
      </c>
      <c r="L97" s="32" t="s">
        <v>314</v>
      </c>
      <c r="M97" s="33" t="s">
        <v>33</v>
      </c>
      <c r="N97" s="34" t="s">
        <v>16</v>
      </c>
      <c r="O97" s="51">
        <v>0</v>
      </c>
      <c r="P97" s="45">
        <v>0</v>
      </c>
      <c r="Q97" s="45">
        <v>0</v>
      </c>
      <c r="R97" s="45">
        <v>0</v>
      </c>
      <c r="S97" s="45">
        <v>0</v>
      </c>
      <c r="T97" s="51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51">
        <v>0</v>
      </c>
      <c r="AE97" s="45">
        <f t="shared" ref="AE97:AM97" si="14">SUM(AE98,AE99)</f>
        <v>0</v>
      </c>
      <c r="AF97" s="45">
        <f t="shared" si="14"/>
        <v>0</v>
      </c>
      <c r="AG97" s="45">
        <f t="shared" si="14"/>
        <v>0</v>
      </c>
      <c r="AH97" s="45">
        <f t="shared" si="14"/>
        <v>0</v>
      </c>
      <c r="AI97" s="45">
        <f t="shared" si="14"/>
        <v>0</v>
      </c>
      <c r="AJ97" s="45">
        <f t="shared" si="14"/>
        <v>0</v>
      </c>
      <c r="AK97" s="45">
        <f t="shared" si="14"/>
        <v>0</v>
      </c>
      <c r="AL97" s="45">
        <f t="shared" si="14"/>
        <v>0</v>
      </c>
      <c r="AM97" s="45">
        <f t="shared" si="14"/>
        <v>0</v>
      </c>
      <c r="AN97" s="45">
        <f t="shared" si="10"/>
        <v>0</v>
      </c>
      <c r="AO97" s="45">
        <f t="shared" si="13"/>
        <v>0</v>
      </c>
      <c r="AP97" s="45">
        <f t="shared" si="13"/>
        <v>0</v>
      </c>
      <c r="AQ97" s="45">
        <f t="shared" si="13"/>
        <v>0</v>
      </c>
      <c r="AR97" s="45">
        <f t="shared" si="13"/>
        <v>0</v>
      </c>
      <c r="AS97" s="45">
        <f t="shared" si="13"/>
        <v>0</v>
      </c>
      <c r="AT97" s="45">
        <f t="shared" si="13"/>
        <v>0</v>
      </c>
      <c r="AU97" s="45">
        <f t="shared" si="13"/>
        <v>0</v>
      </c>
      <c r="AV97" s="45">
        <f t="shared" si="13"/>
        <v>0</v>
      </c>
      <c r="AW97" s="45">
        <f t="shared" si="13"/>
        <v>0</v>
      </c>
      <c r="AX97" s="29"/>
      <c r="AY97" s="29"/>
      <c r="AZ97" s="29"/>
    </row>
    <row r="98" spans="1:52" ht="11.25" hidden="1" outlineLevel="1" x14ac:dyDescent="0.25">
      <c r="A98" s="21" t="str">
        <f t="shared" si="12"/>
        <v>1</v>
      </c>
      <c r="D98" s="1" t="s">
        <v>315</v>
      </c>
      <c r="L98" s="32" t="s">
        <v>316</v>
      </c>
      <c r="M98" s="42" t="s">
        <v>317</v>
      </c>
      <c r="N98" s="34" t="s">
        <v>16</v>
      </c>
      <c r="O98" s="49"/>
      <c r="P98" s="49"/>
      <c r="Q98" s="49"/>
      <c r="R98" s="45">
        <v>0</v>
      </c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5">
        <f t="shared" si="10"/>
        <v>0</v>
      </c>
      <c r="AO98" s="45">
        <f t="shared" si="13"/>
        <v>0</v>
      </c>
      <c r="AP98" s="45">
        <f t="shared" si="13"/>
        <v>0</v>
      </c>
      <c r="AQ98" s="45">
        <f t="shared" si="13"/>
        <v>0</v>
      </c>
      <c r="AR98" s="45">
        <f t="shared" si="13"/>
        <v>0</v>
      </c>
      <c r="AS98" s="45">
        <f t="shared" si="13"/>
        <v>0</v>
      </c>
      <c r="AT98" s="45">
        <f t="shared" si="13"/>
        <v>0</v>
      </c>
      <c r="AU98" s="45">
        <f t="shared" si="13"/>
        <v>0</v>
      </c>
      <c r="AV98" s="45">
        <f t="shared" si="13"/>
        <v>0</v>
      </c>
      <c r="AW98" s="45">
        <f t="shared" si="13"/>
        <v>0</v>
      </c>
      <c r="AX98" s="29"/>
      <c r="AY98" s="29"/>
      <c r="AZ98" s="29"/>
    </row>
    <row r="99" spans="1:52" ht="11.25" hidden="1" outlineLevel="1" x14ac:dyDescent="0.25">
      <c r="A99" s="21" t="str">
        <f t="shared" si="12"/>
        <v>1</v>
      </c>
      <c r="D99" s="1" t="s">
        <v>318</v>
      </c>
      <c r="L99" s="32" t="s">
        <v>319</v>
      </c>
      <c r="M99" s="42" t="s">
        <v>320</v>
      </c>
      <c r="N99" s="34" t="s">
        <v>16</v>
      </c>
      <c r="O99" s="49"/>
      <c r="P99" s="49"/>
      <c r="Q99" s="49"/>
      <c r="R99" s="45">
        <v>0</v>
      </c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5">
        <f t="shared" si="10"/>
        <v>0</v>
      </c>
      <c r="AO99" s="45">
        <f t="shared" si="13"/>
        <v>0</v>
      </c>
      <c r="AP99" s="45">
        <f t="shared" si="13"/>
        <v>0</v>
      </c>
      <c r="AQ99" s="45">
        <f t="shared" si="13"/>
        <v>0</v>
      </c>
      <c r="AR99" s="45">
        <f t="shared" si="13"/>
        <v>0</v>
      </c>
      <c r="AS99" s="45">
        <f t="shared" si="13"/>
        <v>0</v>
      </c>
      <c r="AT99" s="45">
        <f t="shared" si="13"/>
        <v>0</v>
      </c>
      <c r="AU99" s="45">
        <f t="shared" si="13"/>
        <v>0</v>
      </c>
      <c r="AV99" s="45">
        <f t="shared" si="13"/>
        <v>0</v>
      </c>
      <c r="AW99" s="45">
        <f t="shared" si="13"/>
        <v>0</v>
      </c>
      <c r="AX99" s="29"/>
      <c r="AY99" s="29"/>
      <c r="AZ99" s="29"/>
    </row>
    <row r="100" spans="1:52" ht="22.5" hidden="1" outlineLevel="1" x14ac:dyDescent="0.25">
      <c r="A100" s="21" t="str">
        <f t="shared" si="12"/>
        <v>1</v>
      </c>
      <c r="B100" s="1" t="s">
        <v>321</v>
      </c>
      <c r="D100" s="1" t="s">
        <v>322</v>
      </c>
      <c r="L100" s="32" t="s">
        <v>323</v>
      </c>
      <c r="M100" s="33" t="s">
        <v>324</v>
      </c>
      <c r="N100" s="34" t="s">
        <v>16</v>
      </c>
      <c r="O100" s="49"/>
      <c r="P100" s="49"/>
      <c r="Q100" s="49"/>
      <c r="R100" s="45">
        <v>0</v>
      </c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5">
        <f t="shared" si="10"/>
        <v>0</v>
      </c>
      <c r="AO100" s="45">
        <f t="shared" si="13"/>
        <v>0</v>
      </c>
      <c r="AP100" s="45">
        <f t="shared" si="13"/>
        <v>0</v>
      </c>
      <c r="AQ100" s="45">
        <f t="shared" si="13"/>
        <v>0</v>
      </c>
      <c r="AR100" s="45">
        <f t="shared" si="13"/>
        <v>0</v>
      </c>
      <c r="AS100" s="45">
        <f t="shared" si="13"/>
        <v>0</v>
      </c>
      <c r="AT100" s="45">
        <f t="shared" si="13"/>
        <v>0</v>
      </c>
      <c r="AU100" s="45">
        <f t="shared" si="13"/>
        <v>0</v>
      </c>
      <c r="AV100" s="45">
        <f t="shared" si="13"/>
        <v>0</v>
      </c>
      <c r="AW100" s="45">
        <f t="shared" si="13"/>
        <v>0</v>
      </c>
      <c r="AX100" s="29"/>
      <c r="AY100" s="29"/>
      <c r="AZ100" s="29"/>
    </row>
    <row r="101" spans="1:52" s="55" customFormat="1" ht="11.25" outlineLevel="1" x14ac:dyDescent="0.25">
      <c r="A101" s="21" t="str">
        <f t="shared" si="12"/>
        <v>1</v>
      </c>
      <c r="B101" s="1" t="s">
        <v>325</v>
      </c>
      <c r="C101" s="1"/>
      <c r="D101" s="1" t="s">
        <v>326</v>
      </c>
      <c r="L101" s="56" t="s">
        <v>17</v>
      </c>
      <c r="M101" s="25" t="s">
        <v>327</v>
      </c>
      <c r="N101" s="58" t="s">
        <v>16</v>
      </c>
      <c r="O101" s="28">
        <v>1901.2820999999999</v>
      </c>
      <c r="P101" s="28">
        <v>1536.087</v>
      </c>
      <c r="Q101" s="28">
        <v>1721.7261944684224</v>
      </c>
      <c r="R101" s="28">
        <v>185.63919446842237</v>
      </c>
      <c r="S101" s="28">
        <v>1938.6595</v>
      </c>
      <c r="T101" s="28">
        <v>2116.6999999999998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1792.4050999999999</v>
      </c>
      <c r="AE101" s="28" t="e">
        <f>SUMIFS([1]ЭЭ!AD$15:AD$32,[1]ЭЭ!$A$15:$A$32,$A101,[1]ЭЭ!$M$15:$M$32,"Всего по тарифу")</f>
        <v>#VALUE!</v>
      </c>
      <c r="AF101" s="28" t="e">
        <f>SUMIFS([1]ЭЭ!AE$15:AE$32,[1]ЭЭ!$A$15:$A$32,$A101,[1]ЭЭ!$M$15:$M$32,"Всего по тарифу")</f>
        <v>#VALUE!</v>
      </c>
      <c r="AG101" s="28" t="e">
        <f>SUMIFS([1]ЭЭ!AF$15:AF$32,[1]ЭЭ!$A$15:$A$32,$A101,[1]ЭЭ!$M$15:$M$32,"Всего по тарифу")</f>
        <v>#VALUE!</v>
      </c>
      <c r="AH101" s="28" t="e">
        <f>SUMIFS([1]ЭЭ!AG$15:AG$32,[1]ЭЭ!$A$15:$A$32,$A101,[1]ЭЭ!$M$15:$M$32,"Всего по тарифу")</f>
        <v>#VALUE!</v>
      </c>
      <c r="AI101" s="28" t="e">
        <f>SUMIFS([1]ЭЭ!AH$15:AH$32,[1]ЭЭ!$A$15:$A$32,$A101,[1]ЭЭ!$M$15:$M$32,"Всего по тарифу")</f>
        <v>#VALUE!</v>
      </c>
      <c r="AJ101" s="28" t="e">
        <f>SUMIFS([1]ЭЭ!AI$15:AI$32,[1]ЭЭ!$A$15:$A$32,$A101,[1]ЭЭ!$M$15:$M$32,"Всего по тарифу")</f>
        <v>#VALUE!</v>
      </c>
      <c r="AK101" s="28" t="e">
        <f>SUMIFS([1]ЭЭ!AJ$15:AJ$32,[1]ЭЭ!$A$15:$A$32,$A101,[1]ЭЭ!$M$15:$M$32,"Всего по тарифу")</f>
        <v>#VALUE!</v>
      </c>
      <c r="AL101" s="28" t="e">
        <f>SUMIFS([1]ЭЭ!AK$15:AK$32,[1]ЭЭ!$A$15:$A$32,$A101,[1]ЭЭ!$M$15:$M$32,"Всего по тарифу")</f>
        <v>#VALUE!</v>
      </c>
      <c r="AM101" s="28" t="e">
        <f>SUMIFS([1]ЭЭ!AL$15:AL$32,[1]ЭЭ!$A$15:$A$32,$A101,[1]ЭЭ!$M$15:$M$32,"Всего по тарифу")</f>
        <v>#VALUE!</v>
      </c>
      <c r="AN101" s="28">
        <f t="shared" si="10"/>
        <v>-7.5440994150855287</v>
      </c>
      <c r="AO101" s="28" t="e">
        <f t="shared" si="13"/>
        <v>#VALUE!</v>
      </c>
      <c r="AP101" s="28" t="e">
        <f t="shared" si="13"/>
        <v>#VALUE!</v>
      </c>
      <c r="AQ101" s="28" t="e">
        <f t="shared" si="13"/>
        <v>#VALUE!</v>
      </c>
      <c r="AR101" s="28" t="e">
        <f t="shared" si="13"/>
        <v>#VALUE!</v>
      </c>
      <c r="AS101" s="28" t="e">
        <f t="shared" si="13"/>
        <v>#VALUE!</v>
      </c>
      <c r="AT101" s="28" t="e">
        <f t="shared" si="13"/>
        <v>#VALUE!</v>
      </c>
      <c r="AU101" s="28" t="e">
        <f t="shared" si="13"/>
        <v>#VALUE!</v>
      </c>
      <c r="AV101" s="28" t="e">
        <f t="shared" si="13"/>
        <v>#VALUE!</v>
      </c>
      <c r="AW101" s="28" t="e">
        <f t="shared" si="13"/>
        <v>#VALUE!</v>
      </c>
      <c r="AX101" s="29"/>
      <c r="AY101" s="29"/>
      <c r="AZ101" s="29"/>
    </row>
    <row r="102" spans="1:52" s="55" customFormat="1" ht="22.5" outlineLevel="1" x14ac:dyDescent="0.25">
      <c r="A102" s="21" t="str">
        <f t="shared" si="12"/>
        <v>1</v>
      </c>
      <c r="B102" s="1" t="s">
        <v>328</v>
      </c>
      <c r="C102" s="1"/>
      <c r="D102" s="1" t="s">
        <v>329</v>
      </c>
      <c r="L102" s="56" t="s">
        <v>330</v>
      </c>
      <c r="M102" s="25" t="s">
        <v>331</v>
      </c>
      <c r="N102" s="58" t="s">
        <v>16</v>
      </c>
      <c r="O102" s="28">
        <v>505.36</v>
      </c>
      <c r="P102" s="28">
        <v>524.97500000000002</v>
      </c>
      <c r="Q102" s="28">
        <v>505.35877609720501</v>
      </c>
      <c r="R102" s="28">
        <v>-19.616223902795014</v>
      </c>
      <c r="S102" s="28">
        <v>524.98</v>
      </c>
      <c r="T102" s="28">
        <v>558.83000000000004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572.11940505714279</v>
      </c>
      <c r="AE102" s="28">
        <f>SUMIFS([1]Амортизация!AD$15:AD$65,[1]Амортизация!$A$15:$A$65,$A102,[1]Амортизация!$M$15:$M$65,"Сумма амортизационных отчислений")</f>
        <v>0</v>
      </c>
      <c r="AF102" s="28">
        <f>SUMIFS([1]Амортизация!AE$15:AE$65,[1]Амортизация!$A$15:$A$65,$A102,[1]Амортизация!$M$15:$M$65,"Сумма амортизационных отчислений")</f>
        <v>0</v>
      </c>
      <c r="AG102" s="28">
        <f>SUMIFS([1]Амортизация!AF$15:AF$65,[1]Амортизация!$A$15:$A$65,$A102,[1]Амортизация!$M$15:$M$65,"Сумма амортизационных отчислений")</f>
        <v>0</v>
      </c>
      <c r="AH102" s="28">
        <f>SUMIFS([1]Амортизация!AG$15:AG$65,[1]Амортизация!$A$15:$A$65,$A102,[1]Амортизация!$M$15:$M$65,"Сумма амортизационных отчислений")</f>
        <v>0</v>
      </c>
      <c r="AI102" s="28">
        <f>SUMIFS([1]Амортизация!AH$15:AH$65,[1]Амортизация!$A$15:$A$65,$A102,[1]Амортизация!$M$15:$M$65,"Сумма амортизационных отчислений")</f>
        <v>0</v>
      </c>
      <c r="AJ102" s="28">
        <f>SUMIFS([1]Амортизация!AI$15:AI$65,[1]Амортизация!$A$15:$A$65,$A102,[1]Амортизация!$M$15:$M$65,"Сумма амортизационных отчислений")</f>
        <v>0</v>
      </c>
      <c r="AK102" s="28">
        <f>SUMIFS([1]Амортизация!AJ$15:AJ$65,[1]Амортизация!$A$15:$A$65,$A102,[1]Амортизация!$M$15:$M$65,"Сумма амортизационных отчислений")</f>
        <v>0</v>
      </c>
      <c r="AL102" s="28">
        <f>SUMIFS([1]Амортизация!AK$15:AK$65,[1]Амортизация!$A$15:$A$65,$A102,[1]Амортизация!$M$15:$M$65,"Сумма амортизационных отчислений")</f>
        <v>0</v>
      </c>
      <c r="AM102" s="28">
        <f>SUMIFS([1]Амортизация!AL$15:AL$65,[1]Амортизация!$A$15:$A$65,$A102,[1]Амортизация!$M$15:$M$65,"Сумма амортизационных отчислений")</f>
        <v>0</v>
      </c>
      <c r="AN102" s="28">
        <f t="shared" si="10"/>
        <v>8.9792763642696425</v>
      </c>
      <c r="AO102" s="28">
        <f t="shared" si="13"/>
        <v>-100</v>
      </c>
      <c r="AP102" s="28">
        <f t="shared" si="13"/>
        <v>0</v>
      </c>
      <c r="AQ102" s="28">
        <f t="shared" si="13"/>
        <v>0</v>
      </c>
      <c r="AR102" s="28">
        <f t="shared" si="13"/>
        <v>0</v>
      </c>
      <c r="AS102" s="28">
        <f t="shared" si="13"/>
        <v>0</v>
      </c>
      <c r="AT102" s="28">
        <f t="shared" si="13"/>
        <v>0</v>
      </c>
      <c r="AU102" s="28">
        <f t="shared" si="13"/>
        <v>0</v>
      </c>
      <c r="AV102" s="28">
        <f t="shared" si="13"/>
        <v>0</v>
      </c>
      <c r="AW102" s="28">
        <f t="shared" si="13"/>
        <v>0</v>
      </c>
      <c r="AX102" s="29"/>
      <c r="AY102" s="29"/>
      <c r="AZ102" s="29"/>
    </row>
    <row r="103" spans="1:52" ht="11.25" outlineLevel="1" x14ac:dyDescent="0.25">
      <c r="A103" s="21" t="str">
        <f t="shared" si="12"/>
        <v>1</v>
      </c>
      <c r="D103" s="1" t="s">
        <v>332</v>
      </c>
      <c r="L103" s="32" t="s">
        <v>34</v>
      </c>
      <c r="M103" s="72" t="s">
        <v>333</v>
      </c>
      <c r="N103" s="34" t="s">
        <v>16</v>
      </c>
      <c r="O103" s="49">
        <v>0</v>
      </c>
      <c r="P103" s="49">
        <v>0</v>
      </c>
      <c r="Q103" s="49">
        <v>0</v>
      </c>
      <c r="R103" s="45">
        <v>0</v>
      </c>
      <c r="S103" s="49">
        <v>0</v>
      </c>
      <c r="T103" s="49">
        <v>558.83000000000004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572.11940505714279</v>
      </c>
      <c r="AE103" s="49">
        <f>SUMIFS('[1]ИП + источники'!AF$17:AF$65,'[1]ИП + источники'!$A$17:$A$65,$A103,'[1]ИП + источники'!$M$17:$M$65,"Амортизационные отчисления")+SUMIFS('[1]ИП + источники'!AF$17:AF$65,'[1]ИП + источники'!$A$17:$A$65,$A103,'[1]ИП + источники'!$M$17:$M$65,"погашение займов и кредитов из амортизации")</f>
        <v>0</v>
      </c>
      <c r="AF103" s="49">
        <f>SUMIFS('[1]ИП + источники'!AG$17:AG$65,'[1]ИП + источники'!$A$17:$A$65,$A103,'[1]ИП + источники'!$M$17:$M$65,"Амортизационные отчисления")+SUMIFS('[1]ИП + источники'!AG$17:AG$65,'[1]ИП + источники'!$A$17:$A$65,$A103,'[1]ИП + источники'!$M$17:$M$65,"погашение займов и кредитов из амортизации")</f>
        <v>0</v>
      </c>
      <c r="AG103" s="49">
        <f>SUMIFS('[1]ИП + источники'!AH$17:AH$65,'[1]ИП + источники'!$A$17:$A$65,$A103,'[1]ИП + источники'!$M$17:$M$65,"Амортизационные отчисления")+SUMIFS('[1]ИП + источники'!AH$17:AH$65,'[1]ИП + источники'!$A$17:$A$65,$A103,'[1]ИП + источники'!$M$17:$M$65,"погашение займов и кредитов из амортизации")</f>
        <v>0</v>
      </c>
      <c r="AH103" s="49">
        <f>SUMIFS('[1]ИП + источники'!AI$17:AI$65,'[1]ИП + источники'!$A$17:$A$65,$A103,'[1]ИП + источники'!$M$17:$M$65,"Амортизационные отчисления")+SUMIFS('[1]ИП + источники'!AI$17:AI$65,'[1]ИП + источники'!$A$17:$A$65,$A103,'[1]ИП + источники'!$M$17:$M$65,"погашение займов и кредитов из амортизации")</f>
        <v>0</v>
      </c>
      <c r="AI103" s="49">
        <f>SUMIFS('[1]ИП + источники'!AJ$17:AJ$65,'[1]ИП + источники'!$A$17:$A$65,$A103,'[1]ИП + источники'!$M$17:$M$65,"Амортизационные отчисления")+SUMIFS('[1]ИП + источники'!AJ$17:AJ$65,'[1]ИП + источники'!$A$17:$A$65,$A103,'[1]ИП + источники'!$M$17:$M$65,"погашение займов и кредитов из амортизации")</f>
        <v>0</v>
      </c>
      <c r="AJ103" s="49">
        <f>SUMIFS('[1]ИП + источники'!AK$17:AK$65,'[1]ИП + источники'!$A$17:$A$65,$A103,'[1]ИП + источники'!$M$17:$M$65,"Амортизационные отчисления")+SUMIFS('[1]ИП + источники'!AK$17:AK$65,'[1]ИП + источники'!$A$17:$A$65,$A103,'[1]ИП + источники'!$M$17:$M$65,"погашение займов и кредитов из амортизации")</f>
        <v>0</v>
      </c>
      <c r="AK103" s="49">
        <f>SUMIFS('[1]ИП + источники'!AL$17:AL$65,'[1]ИП + источники'!$A$17:$A$65,$A103,'[1]ИП + источники'!$M$17:$M$65,"Амортизационные отчисления")+SUMIFS('[1]ИП + источники'!AL$17:AL$65,'[1]ИП + источники'!$A$17:$A$65,$A103,'[1]ИП + источники'!$M$17:$M$65,"погашение займов и кредитов из амортизации")</f>
        <v>0</v>
      </c>
      <c r="AL103" s="49">
        <f>SUMIFS('[1]ИП + источники'!AM$17:AM$65,'[1]ИП + источники'!$A$17:$A$65,$A103,'[1]ИП + источники'!$M$17:$M$65,"Амортизационные отчисления")+SUMIFS('[1]ИП + источники'!AM$17:AM$65,'[1]ИП + источники'!$A$17:$A$65,$A103,'[1]ИП + источники'!$M$17:$M$65,"погашение займов и кредитов из амортизации")</f>
        <v>0</v>
      </c>
      <c r="AM103" s="49">
        <f>SUMIFS('[1]ИП + источники'!AN$17:AN$65,'[1]ИП + источники'!$A$17:$A$65,$A103,'[1]ИП + источники'!$M$17:$M$65,"Амортизационные отчисления")+SUMIFS('[1]ИП + источники'!AN$17:AN$65,'[1]ИП + источники'!$A$17:$A$65,$A103,'[1]ИП + источники'!$M$17:$M$65,"погашение займов и кредитов из амортизации")</f>
        <v>0</v>
      </c>
      <c r="AN103" s="45">
        <f t="shared" si="10"/>
        <v>0</v>
      </c>
      <c r="AO103" s="45">
        <f t="shared" si="13"/>
        <v>-100</v>
      </c>
      <c r="AP103" s="45">
        <f t="shared" si="13"/>
        <v>0</v>
      </c>
      <c r="AQ103" s="45">
        <f t="shared" si="13"/>
        <v>0</v>
      </c>
      <c r="AR103" s="45">
        <f t="shared" si="13"/>
        <v>0</v>
      </c>
      <c r="AS103" s="45">
        <f t="shared" si="13"/>
        <v>0</v>
      </c>
      <c r="AT103" s="45">
        <f t="shared" si="13"/>
        <v>0</v>
      </c>
      <c r="AU103" s="45">
        <f t="shared" si="13"/>
        <v>0</v>
      </c>
      <c r="AV103" s="45">
        <f t="shared" si="13"/>
        <v>0</v>
      </c>
      <c r="AW103" s="45">
        <f t="shared" si="13"/>
        <v>0</v>
      </c>
      <c r="AX103" s="29"/>
      <c r="AY103" s="29"/>
      <c r="AZ103" s="29"/>
    </row>
    <row r="104" spans="1:52" s="55" customFormat="1" ht="11.25" outlineLevel="1" x14ac:dyDescent="0.25">
      <c r="A104" s="21" t="str">
        <f t="shared" si="12"/>
        <v>1</v>
      </c>
      <c r="B104" s="1" t="s">
        <v>35</v>
      </c>
      <c r="C104" s="1"/>
      <c r="D104" s="1" t="s">
        <v>334</v>
      </c>
      <c r="L104" s="56" t="s">
        <v>335</v>
      </c>
      <c r="M104" s="73" t="s">
        <v>35</v>
      </c>
      <c r="N104" s="26" t="s">
        <v>16</v>
      </c>
      <c r="O104" s="59">
        <v>0</v>
      </c>
      <c r="P104" s="59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59">
        <v>0</v>
      </c>
      <c r="X104" s="59">
        <v>0</v>
      </c>
      <c r="Y104" s="59">
        <v>0</v>
      </c>
      <c r="Z104" s="59">
        <v>0</v>
      </c>
      <c r="AA104" s="59">
        <v>0</v>
      </c>
      <c r="AB104" s="59">
        <v>0</v>
      </c>
      <c r="AC104" s="59">
        <v>0</v>
      </c>
      <c r="AD104" s="59">
        <v>0</v>
      </c>
      <c r="AE104" s="59">
        <f t="shared" ref="AE104:AM104" si="15">AE105+AE106+AE107+AE108</f>
        <v>0</v>
      </c>
      <c r="AF104" s="59">
        <f t="shared" si="15"/>
        <v>0</v>
      </c>
      <c r="AG104" s="59">
        <f t="shared" si="15"/>
        <v>0</v>
      </c>
      <c r="AH104" s="59">
        <f t="shared" si="15"/>
        <v>0</v>
      </c>
      <c r="AI104" s="59">
        <f t="shared" si="15"/>
        <v>0</v>
      </c>
      <c r="AJ104" s="59">
        <f t="shared" si="15"/>
        <v>0</v>
      </c>
      <c r="AK104" s="59">
        <f t="shared" si="15"/>
        <v>0</v>
      </c>
      <c r="AL104" s="59">
        <f t="shared" si="15"/>
        <v>0</v>
      </c>
      <c r="AM104" s="59">
        <f t="shared" si="15"/>
        <v>0</v>
      </c>
      <c r="AN104" s="28">
        <f t="shared" si="10"/>
        <v>0</v>
      </c>
      <c r="AO104" s="28">
        <f t="shared" si="13"/>
        <v>0</v>
      </c>
      <c r="AP104" s="28">
        <f t="shared" si="13"/>
        <v>0</v>
      </c>
      <c r="AQ104" s="28">
        <f t="shared" si="13"/>
        <v>0</v>
      </c>
      <c r="AR104" s="28">
        <f t="shared" si="13"/>
        <v>0</v>
      </c>
      <c r="AS104" s="28">
        <f t="shared" si="13"/>
        <v>0</v>
      </c>
      <c r="AT104" s="28">
        <f t="shared" si="13"/>
        <v>0</v>
      </c>
      <c r="AU104" s="28">
        <f t="shared" si="13"/>
        <v>0</v>
      </c>
      <c r="AV104" s="28">
        <f t="shared" si="13"/>
        <v>0</v>
      </c>
      <c r="AW104" s="28">
        <f t="shared" si="13"/>
        <v>0</v>
      </c>
      <c r="AX104" s="29"/>
      <c r="AY104" s="29"/>
      <c r="AZ104" s="29"/>
    </row>
    <row r="105" spans="1:52" ht="11.25" hidden="1" outlineLevel="1" x14ac:dyDescent="0.25">
      <c r="A105" s="21" t="str">
        <f t="shared" si="12"/>
        <v>1</v>
      </c>
      <c r="D105" s="1" t="s">
        <v>336</v>
      </c>
      <c r="L105" s="32" t="s">
        <v>36</v>
      </c>
      <c r="M105" s="33" t="s">
        <v>337</v>
      </c>
      <c r="N105" s="34" t="s">
        <v>16</v>
      </c>
      <c r="O105" s="49">
        <v>0</v>
      </c>
      <c r="P105" s="49">
        <v>0</v>
      </c>
      <c r="Q105" s="49">
        <v>0</v>
      </c>
      <c r="R105" s="45">
        <v>0</v>
      </c>
      <c r="S105" s="49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49">
        <v>0</v>
      </c>
      <c r="Z105" s="49">
        <v>0</v>
      </c>
      <c r="AA105" s="49">
        <v>0</v>
      </c>
      <c r="AB105" s="49">
        <v>0</v>
      </c>
      <c r="AC105" s="49">
        <v>0</v>
      </c>
      <c r="AD105" s="49">
        <v>0</v>
      </c>
      <c r="AE105" s="49">
        <f>SUMIFS('[1]ИП + источники'!AF$17:AF$65,'[1]ИП + источники'!$A$17:$A$65,$A105,'[1]ИП + источники'!$M$17:$M$65,"погашение займов и кредитов из нормативной прибыли")</f>
        <v>0</v>
      </c>
      <c r="AF105" s="49">
        <f>SUMIFS('[1]ИП + источники'!AG$17:AG$65,'[1]ИП + источники'!$A$17:$A$65,$A105,'[1]ИП + источники'!$M$17:$M$65,"погашение займов и кредитов из нормативной прибыли")</f>
        <v>0</v>
      </c>
      <c r="AG105" s="49">
        <f>SUMIFS('[1]ИП + источники'!AH$17:AH$65,'[1]ИП + источники'!$A$17:$A$65,$A105,'[1]ИП + источники'!$M$17:$M$65,"погашение займов и кредитов из нормативной прибыли")</f>
        <v>0</v>
      </c>
      <c r="AH105" s="49">
        <f>SUMIFS('[1]ИП + источники'!AI$17:AI$65,'[1]ИП + источники'!$A$17:$A$65,$A105,'[1]ИП + источники'!$M$17:$M$65,"погашение займов и кредитов из нормативной прибыли")</f>
        <v>0</v>
      </c>
      <c r="AI105" s="49">
        <f>SUMIFS('[1]ИП + источники'!AJ$17:AJ$65,'[1]ИП + источники'!$A$17:$A$65,$A105,'[1]ИП + источники'!$M$17:$M$65,"погашение займов и кредитов из нормативной прибыли")</f>
        <v>0</v>
      </c>
      <c r="AJ105" s="49">
        <f>SUMIFS('[1]ИП + источники'!AK$17:AK$65,'[1]ИП + источники'!$A$17:$A$65,$A105,'[1]ИП + источники'!$M$17:$M$65,"погашение займов и кредитов из нормативной прибыли")</f>
        <v>0</v>
      </c>
      <c r="AK105" s="49">
        <f>SUMIFS('[1]ИП + источники'!AL$17:AL$65,'[1]ИП + источники'!$A$17:$A$65,$A105,'[1]ИП + источники'!$M$17:$M$65,"погашение займов и кредитов из нормативной прибыли")</f>
        <v>0</v>
      </c>
      <c r="AL105" s="49">
        <f>SUMIFS('[1]ИП + источники'!AM$17:AM$65,'[1]ИП + источники'!$A$17:$A$65,$A105,'[1]ИП + источники'!$M$17:$M$65,"погашение займов и кредитов из нормативной прибыли")</f>
        <v>0</v>
      </c>
      <c r="AM105" s="49">
        <f>SUMIFS('[1]ИП + источники'!AN$17:AN$65,'[1]ИП + источники'!$A$17:$A$65,$A105,'[1]ИП + источники'!$M$17:$M$65,"погашение займов и кредитов из нормативной прибыли")</f>
        <v>0</v>
      </c>
      <c r="AN105" s="45">
        <f t="shared" si="10"/>
        <v>0</v>
      </c>
      <c r="AO105" s="45">
        <f t="shared" si="13"/>
        <v>0</v>
      </c>
      <c r="AP105" s="45">
        <f t="shared" si="13"/>
        <v>0</v>
      </c>
      <c r="AQ105" s="45">
        <f t="shared" si="13"/>
        <v>0</v>
      </c>
      <c r="AR105" s="45">
        <f t="shared" si="13"/>
        <v>0</v>
      </c>
      <c r="AS105" s="45">
        <f t="shared" si="13"/>
        <v>0</v>
      </c>
      <c r="AT105" s="45">
        <f t="shared" si="13"/>
        <v>0</v>
      </c>
      <c r="AU105" s="45">
        <f t="shared" si="13"/>
        <v>0</v>
      </c>
      <c r="AV105" s="45">
        <f t="shared" si="13"/>
        <v>0</v>
      </c>
      <c r="AW105" s="45">
        <f t="shared" si="13"/>
        <v>0</v>
      </c>
      <c r="AX105" s="29"/>
      <c r="AY105" s="29"/>
      <c r="AZ105" s="29"/>
    </row>
    <row r="106" spans="1:52" ht="11.25" hidden="1" outlineLevel="1" x14ac:dyDescent="0.25">
      <c r="A106" s="21" t="str">
        <f t="shared" si="12"/>
        <v>1</v>
      </c>
      <c r="D106" s="1" t="s">
        <v>338</v>
      </c>
      <c r="L106" s="32" t="s">
        <v>37</v>
      </c>
      <c r="M106" s="33" t="s">
        <v>339</v>
      </c>
      <c r="N106" s="34" t="s">
        <v>16</v>
      </c>
      <c r="O106" s="49">
        <v>0</v>
      </c>
      <c r="P106" s="49">
        <v>0</v>
      </c>
      <c r="Q106" s="49">
        <v>0</v>
      </c>
      <c r="R106" s="45">
        <v>0</v>
      </c>
      <c r="S106" s="49">
        <v>0</v>
      </c>
      <c r="T106" s="49">
        <v>0</v>
      </c>
      <c r="U106" s="49">
        <v>0</v>
      </c>
      <c r="V106" s="49">
        <v>0</v>
      </c>
      <c r="W106" s="49">
        <v>0</v>
      </c>
      <c r="X106" s="49">
        <v>0</v>
      </c>
      <c r="Y106" s="49">
        <v>0</v>
      </c>
      <c r="Z106" s="49">
        <v>0</v>
      </c>
      <c r="AA106" s="49">
        <v>0</v>
      </c>
      <c r="AB106" s="49">
        <v>0</v>
      </c>
      <c r="AC106" s="49">
        <v>0</v>
      </c>
      <c r="AD106" s="49">
        <v>0</v>
      </c>
      <c r="AE106" s="49">
        <f>SUMIFS('[1]ИП + источники'!AF$17:AF$65,'[1]ИП + источники'!$A$17:$A$65,$A106,'[1]ИП + источники'!$M$17:$M$65,"уплата процентов по кредитам из нормативной прибыли")</f>
        <v>0</v>
      </c>
      <c r="AF106" s="49">
        <f>SUMIFS('[1]ИП + источники'!AG$17:AG$65,'[1]ИП + источники'!$A$17:$A$65,$A106,'[1]ИП + источники'!$M$17:$M$65,"уплата процентов по кредитам из нормативной прибыли")</f>
        <v>0</v>
      </c>
      <c r="AG106" s="49">
        <f>SUMIFS('[1]ИП + источники'!AH$17:AH$65,'[1]ИП + источники'!$A$17:$A$65,$A106,'[1]ИП + источники'!$M$17:$M$65,"уплата процентов по кредитам из нормативной прибыли")</f>
        <v>0</v>
      </c>
      <c r="AH106" s="49">
        <f>SUMIFS('[1]ИП + источники'!AI$17:AI$65,'[1]ИП + источники'!$A$17:$A$65,$A106,'[1]ИП + источники'!$M$17:$M$65,"уплата процентов по кредитам из нормативной прибыли")</f>
        <v>0</v>
      </c>
      <c r="AI106" s="49">
        <f>SUMIFS('[1]ИП + источники'!AJ$17:AJ$65,'[1]ИП + источники'!$A$17:$A$65,$A106,'[1]ИП + источники'!$M$17:$M$65,"уплата процентов по кредитам из нормативной прибыли")</f>
        <v>0</v>
      </c>
      <c r="AJ106" s="49">
        <f>SUMIFS('[1]ИП + источники'!AK$17:AK$65,'[1]ИП + источники'!$A$17:$A$65,$A106,'[1]ИП + источники'!$M$17:$M$65,"уплата процентов по кредитам из нормативной прибыли")</f>
        <v>0</v>
      </c>
      <c r="AK106" s="49">
        <f>SUMIFS('[1]ИП + источники'!AL$17:AL$65,'[1]ИП + источники'!$A$17:$A$65,$A106,'[1]ИП + источники'!$M$17:$M$65,"уплата процентов по кредитам из нормативной прибыли")</f>
        <v>0</v>
      </c>
      <c r="AL106" s="49">
        <f>SUMIFS('[1]ИП + источники'!AM$17:AM$65,'[1]ИП + источники'!$A$17:$A$65,$A106,'[1]ИП + источники'!$M$17:$M$65,"уплата процентов по кредитам из нормативной прибыли")</f>
        <v>0</v>
      </c>
      <c r="AM106" s="49">
        <f>SUMIFS('[1]ИП + источники'!AN$17:AN$65,'[1]ИП + источники'!$A$17:$A$65,$A106,'[1]ИП + источники'!$M$17:$M$65,"уплата процентов по кредитам из нормативной прибыли")</f>
        <v>0</v>
      </c>
      <c r="AN106" s="45">
        <f t="shared" si="10"/>
        <v>0</v>
      </c>
      <c r="AO106" s="45">
        <f t="shared" si="13"/>
        <v>0</v>
      </c>
      <c r="AP106" s="45">
        <f t="shared" si="13"/>
        <v>0</v>
      </c>
      <c r="AQ106" s="45">
        <f t="shared" si="13"/>
        <v>0</v>
      </c>
      <c r="AR106" s="45">
        <f t="shared" si="13"/>
        <v>0</v>
      </c>
      <c r="AS106" s="45">
        <f t="shared" si="13"/>
        <v>0</v>
      </c>
      <c r="AT106" s="45">
        <f t="shared" si="13"/>
        <v>0</v>
      </c>
      <c r="AU106" s="45">
        <f t="shared" si="13"/>
        <v>0</v>
      </c>
      <c r="AV106" s="45">
        <f t="shared" si="13"/>
        <v>0</v>
      </c>
      <c r="AW106" s="45">
        <f t="shared" si="13"/>
        <v>0</v>
      </c>
      <c r="AX106" s="29"/>
      <c r="AY106" s="29"/>
      <c r="AZ106" s="29"/>
    </row>
    <row r="107" spans="1:52" ht="11.25" hidden="1" outlineLevel="1" x14ac:dyDescent="0.25">
      <c r="A107" s="21" t="str">
        <f t="shared" si="12"/>
        <v>1</v>
      </c>
      <c r="D107" s="1" t="s">
        <v>340</v>
      </c>
      <c r="L107" s="32" t="s">
        <v>341</v>
      </c>
      <c r="M107" s="33" t="s">
        <v>342</v>
      </c>
      <c r="N107" s="34" t="s">
        <v>16</v>
      </c>
      <c r="O107" s="49">
        <v>0</v>
      </c>
      <c r="P107" s="49">
        <v>0</v>
      </c>
      <c r="Q107" s="49">
        <v>0</v>
      </c>
      <c r="R107" s="45">
        <v>0</v>
      </c>
      <c r="S107" s="4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49">
        <v>0</v>
      </c>
      <c r="Z107" s="49">
        <v>0</v>
      </c>
      <c r="AA107" s="49">
        <v>0</v>
      </c>
      <c r="AB107" s="49">
        <v>0</v>
      </c>
      <c r="AC107" s="49">
        <v>0</v>
      </c>
      <c r="AD107" s="49">
        <v>0</v>
      </c>
      <c r="AE107" s="49">
        <f>SUMIFS('[1]ИП + источники'!AF$17:AF$65,'[1]ИП + источники'!$A$17:$A$65,$A107,'[1]ИП + источники'!$M$17:$M$65,"Прибыль на капвложения")</f>
        <v>0</v>
      </c>
      <c r="AF107" s="49">
        <f>SUMIFS('[1]ИП + источники'!AG$17:AG$65,'[1]ИП + источники'!$A$17:$A$65,$A107,'[1]ИП + источники'!$M$17:$M$65,"Прибыль на капвложения")</f>
        <v>0</v>
      </c>
      <c r="AG107" s="49">
        <f>SUMIFS('[1]ИП + источники'!AH$17:AH$65,'[1]ИП + источники'!$A$17:$A$65,$A107,'[1]ИП + источники'!$M$17:$M$65,"Прибыль на капвложения")</f>
        <v>0</v>
      </c>
      <c r="AH107" s="49">
        <f>SUMIFS('[1]ИП + источники'!AI$17:AI$65,'[1]ИП + источники'!$A$17:$A$65,$A107,'[1]ИП + источники'!$M$17:$M$65,"Прибыль на капвложения")</f>
        <v>0</v>
      </c>
      <c r="AI107" s="49">
        <f>SUMIFS('[1]ИП + источники'!AJ$17:AJ$65,'[1]ИП + источники'!$A$17:$A$65,$A107,'[1]ИП + источники'!$M$17:$M$65,"Прибыль на капвложения")</f>
        <v>0</v>
      </c>
      <c r="AJ107" s="49">
        <f>SUMIFS('[1]ИП + источники'!AK$17:AK$65,'[1]ИП + источники'!$A$17:$A$65,$A107,'[1]ИП + источники'!$M$17:$M$65,"Прибыль на капвложения")</f>
        <v>0</v>
      </c>
      <c r="AK107" s="49">
        <f>SUMIFS('[1]ИП + источники'!AL$17:AL$65,'[1]ИП + источники'!$A$17:$A$65,$A107,'[1]ИП + источники'!$M$17:$M$65,"Прибыль на капвложения")</f>
        <v>0</v>
      </c>
      <c r="AL107" s="49">
        <f>SUMIFS('[1]ИП + источники'!AM$17:AM$65,'[1]ИП + источники'!$A$17:$A$65,$A107,'[1]ИП + источники'!$M$17:$M$65,"Прибыль на капвложения")</f>
        <v>0</v>
      </c>
      <c r="AM107" s="49">
        <f>SUMIFS('[1]ИП + источники'!AN$17:AN$65,'[1]ИП + источники'!$A$17:$A$65,$A107,'[1]ИП + источники'!$M$17:$M$65,"Прибыль на капвложения")</f>
        <v>0</v>
      </c>
      <c r="AN107" s="45">
        <f t="shared" si="10"/>
        <v>0</v>
      </c>
      <c r="AO107" s="45">
        <f t="shared" si="13"/>
        <v>0</v>
      </c>
      <c r="AP107" s="45">
        <f t="shared" si="13"/>
        <v>0</v>
      </c>
      <c r="AQ107" s="45">
        <f t="shared" si="13"/>
        <v>0</v>
      </c>
      <c r="AR107" s="45">
        <f t="shared" si="13"/>
        <v>0</v>
      </c>
      <c r="AS107" s="45">
        <f t="shared" si="13"/>
        <v>0</v>
      </c>
      <c r="AT107" s="45">
        <f t="shared" si="13"/>
        <v>0</v>
      </c>
      <c r="AU107" s="45">
        <f t="shared" si="13"/>
        <v>0</v>
      </c>
      <c r="AV107" s="45">
        <f t="shared" si="13"/>
        <v>0</v>
      </c>
      <c r="AW107" s="45">
        <f t="shared" si="13"/>
        <v>0</v>
      </c>
      <c r="AX107" s="29"/>
      <c r="AY107" s="29"/>
      <c r="AZ107" s="29"/>
    </row>
    <row r="108" spans="1:52" ht="22.5" hidden="1" outlineLevel="1" x14ac:dyDescent="0.25">
      <c r="A108" s="21" t="str">
        <f t="shared" si="12"/>
        <v>1</v>
      </c>
      <c r="B108" s="1" t="s">
        <v>343</v>
      </c>
      <c r="D108" s="1" t="s">
        <v>344</v>
      </c>
      <c r="L108" s="32" t="s">
        <v>345</v>
      </c>
      <c r="M108" s="33" t="s">
        <v>346</v>
      </c>
      <c r="N108" s="34" t="s">
        <v>16</v>
      </c>
      <c r="O108" s="49"/>
      <c r="P108" s="49"/>
      <c r="Q108" s="49"/>
      <c r="R108" s="45">
        <v>0</v>
      </c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5">
        <f t="shared" si="10"/>
        <v>0</v>
      </c>
      <c r="AO108" s="45">
        <f t="shared" si="13"/>
        <v>0</v>
      </c>
      <c r="AP108" s="45">
        <f t="shared" si="13"/>
        <v>0</v>
      </c>
      <c r="AQ108" s="45">
        <f t="shared" si="13"/>
        <v>0</v>
      </c>
      <c r="AR108" s="45">
        <f t="shared" si="13"/>
        <v>0</v>
      </c>
      <c r="AS108" s="45">
        <f t="shared" si="13"/>
        <v>0</v>
      </c>
      <c r="AT108" s="45">
        <f t="shared" si="13"/>
        <v>0</v>
      </c>
      <c r="AU108" s="45">
        <f t="shared" si="13"/>
        <v>0</v>
      </c>
      <c r="AV108" s="45">
        <f t="shared" si="13"/>
        <v>0</v>
      </c>
      <c r="AW108" s="45">
        <f t="shared" si="13"/>
        <v>0</v>
      </c>
      <c r="AX108" s="29"/>
      <c r="AY108" s="29"/>
      <c r="AZ108" s="29"/>
    </row>
    <row r="109" spans="1:52" ht="11.25" outlineLevel="1" x14ac:dyDescent="0.25">
      <c r="A109" s="21" t="str">
        <f t="shared" si="12"/>
        <v>1</v>
      </c>
      <c r="B109" s="1" t="s">
        <v>39</v>
      </c>
      <c r="D109" s="1" t="s">
        <v>347</v>
      </c>
      <c r="L109" s="32" t="s">
        <v>38</v>
      </c>
      <c r="M109" s="74" t="s">
        <v>39</v>
      </c>
      <c r="N109" s="34" t="s">
        <v>16</v>
      </c>
      <c r="O109" s="49">
        <v>403.33</v>
      </c>
      <c r="P109" s="49">
        <v>403.33</v>
      </c>
      <c r="Q109" s="49">
        <v>403.33223020137342</v>
      </c>
      <c r="R109" s="45">
        <v>2.2302013734361026E-3</v>
      </c>
      <c r="S109" s="49">
        <v>423.16</v>
      </c>
      <c r="T109" s="49">
        <v>433.67</v>
      </c>
      <c r="U109" s="49"/>
      <c r="V109" s="49"/>
      <c r="W109" s="49"/>
      <c r="X109" s="49"/>
      <c r="Y109" s="49"/>
      <c r="Z109" s="49"/>
      <c r="AA109" s="49"/>
      <c r="AB109" s="49"/>
      <c r="AC109" s="49"/>
      <c r="AD109" s="49">
        <v>434.84832590209146</v>
      </c>
      <c r="AE109" s="49"/>
      <c r="AF109" s="49"/>
      <c r="AG109" s="49"/>
      <c r="AH109" s="49"/>
      <c r="AI109" s="49"/>
      <c r="AJ109" s="49"/>
      <c r="AK109" s="49"/>
      <c r="AL109" s="49"/>
      <c r="AM109" s="49"/>
      <c r="AN109" s="45">
        <f t="shared" si="10"/>
        <v>2.76215282684834</v>
      </c>
      <c r="AO109" s="45">
        <f t="shared" si="13"/>
        <v>-100</v>
      </c>
      <c r="AP109" s="45">
        <f t="shared" si="13"/>
        <v>0</v>
      </c>
      <c r="AQ109" s="45">
        <f t="shared" si="13"/>
        <v>0</v>
      </c>
      <c r="AR109" s="45">
        <f t="shared" si="13"/>
        <v>0</v>
      </c>
      <c r="AS109" s="45">
        <f t="shared" si="13"/>
        <v>0</v>
      </c>
      <c r="AT109" s="45">
        <f t="shared" si="13"/>
        <v>0</v>
      </c>
      <c r="AU109" s="45">
        <f t="shared" si="13"/>
        <v>0</v>
      </c>
      <c r="AV109" s="45">
        <f t="shared" si="13"/>
        <v>0</v>
      </c>
      <c r="AW109" s="45">
        <f t="shared" si="13"/>
        <v>0</v>
      </c>
      <c r="AX109" s="29"/>
      <c r="AY109" s="29"/>
      <c r="AZ109" s="29"/>
    </row>
    <row r="110" spans="1:52" s="55" customFormat="1" ht="11.25" outlineLevel="1" x14ac:dyDescent="0.25">
      <c r="A110" s="21" t="str">
        <f t="shared" si="12"/>
        <v>1</v>
      </c>
      <c r="B110" s="1" t="s">
        <v>348</v>
      </c>
      <c r="C110" s="1"/>
      <c r="D110" s="75" t="s">
        <v>349</v>
      </c>
      <c r="L110" s="56" t="s">
        <v>40</v>
      </c>
      <c r="M110" s="76" t="s">
        <v>350</v>
      </c>
      <c r="N110" s="58" t="s">
        <v>16</v>
      </c>
      <c r="O110" s="27">
        <v>61.71</v>
      </c>
      <c r="P110" s="27">
        <v>0</v>
      </c>
      <c r="Q110" s="27">
        <v>61.714751837269233</v>
      </c>
      <c r="R110" s="28">
        <v>61.714751837269233</v>
      </c>
      <c r="S110" s="27">
        <v>-182.14</v>
      </c>
      <c r="T110" s="49">
        <v>417.80199999999877</v>
      </c>
      <c r="U110" s="27"/>
      <c r="V110" s="27"/>
      <c r="W110" s="27"/>
      <c r="X110" s="27"/>
      <c r="Y110" s="27"/>
      <c r="Z110" s="27"/>
      <c r="AA110" s="27"/>
      <c r="AB110" s="27"/>
      <c r="AC110" s="27"/>
      <c r="AD110" s="49">
        <v>505.24542734836109</v>
      </c>
      <c r="AE110" s="27"/>
      <c r="AF110" s="27"/>
      <c r="AG110" s="27"/>
      <c r="AH110" s="27"/>
      <c r="AI110" s="27"/>
      <c r="AJ110" s="27"/>
      <c r="AK110" s="27"/>
      <c r="AL110" s="27"/>
      <c r="AM110" s="27"/>
      <c r="AN110" s="28">
        <f t="shared" si="10"/>
        <v>-377.3939976657303</v>
      </c>
      <c r="AO110" s="28">
        <f t="shared" si="13"/>
        <v>-100</v>
      </c>
      <c r="AP110" s="28">
        <f t="shared" si="13"/>
        <v>0</v>
      </c>
      <c r="AQ110" s="28">
        <f t="shared" si="13"/>
        <v>0</v>
      </c>
      <c r="AR110" s="28">
        <f t="shared" si="13"/>
        <v>0</v>
      </c>
      <c r="AS110" s="28">
        <f t="shared" si="13"/>
        <v>0</v>
      </c>
      <c r="AT110" s="28">
        <f t="shared" si="13"/>
        <v>0</v>
      </c>
      <c r="AU110" s="28">
        <f t="shared" si="13"/>
        <v>0</v>
      </c>
      <c r="AV110" s="28">
        <f t="shared" si="13"/>
        <v>0</v>
      </c>
      <c r="AW110" s="28">
        <f t="shared" si="13"/>
        <v>0</v>
      </c>
      <c r="AX110" s="41"/>
      <c r="AY110" s="41"/>
      <c r="AZ110" s="41"/>
    </row>
    <row r="111" spans="1:52" ht="11.25" hidden="1" outlineLevel="1" x14ac:dyDescent="0.25">
      <c r="A111" s="21" t="str">
        <f t="shared" si="12"/>
        <v>1</v>
      </c>
      <c r="L111" s="32"/>
      <c r="M111" s="74" t="s">
        <v>351</v>
      </c>
      <c r="N111" s="34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62"/>
      <c r="AY111" s="62"/>
      <c r="AZ111" s="62"/>
    </row>
    <row r="112" spans="1:52" ht="22.5" hidden="1" outlineLevel="1" x14ac:dyDescent="0.25">
      <c r="A112" s="21" t="str">
        <f t="shared" si="12"/>
        <v>1</v>
      </c>
      <c r="B112" s="1" t="s">
        <v>326</v>
      </c>
      <c r="D112" s="1" t="s">
        <v>352</v>
      </c>
      <c r="L112" s="32" t="s">
        <v>41</v>
      </c>
      <c r="M112" s="33" t="s">
        <v>353</v>
      </c>
      <c r="N112" s="34" t="s">
        <v>16</v>
      </c>
      <c r="O112" s="49"/>
      <c r="P112" s="49"/>
      <c r="Q112" s="49"/>
      <c r="R112" s="45">
        <f t="shared" ref="R112:R135" si="16">Q112-P112</f>
        <v>0</v>
      </c>
      <c r="S112" s="49">
        <v>0</v>
      </c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29"/>
      <c r="AY112" s="29"/>
      <c r="AZ112" s="29"/>
    </row>
    <row r="113" spans="1:52" ht="101.25" hidden="1" outlineLevel="1" x14ac:dyDescent="0.25">
      <c r="A113" s="21" t="str">
        <f t="shared" si="12"/>
        <v>1</v>
      </c>
      <c r="B113" s="1" t="s">
        <v>329</v>
      </c>
      <c r="D113" s="1" t="s">
        <v>354</v>
      </c>
      <c r="L113" s="32" t="s">
        <v>42</v>
      </c>
      <c r="M113" s="33" t="s">
        <v>355</v>
      </c>
      <c r="N113" s="34" t="s">
        <v>16</v>
      </c>
      <c r="O113" s="49"/>
      <c r="P113" s="49"/>
      <c r="Q113" s="49"/>
      <c r="R113" s="45">
        <f t="shared" si="16"/>
        <v>0</v>
      </c>
      <c r="S113" s="49">
        <v>0</v>
      </c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29"/>
      <c r="AY113" s="29"/>
      <c r="AZ113" s="29"/>
    </row>
    <row r="114" spans="1:52" ht="45" hidden="1" outlineLevel="1" x14ac:dyDescent="0.25">
      <c r="A114" s="21" t="str">
        <f t="shared" si="12"/>
        <v>1</v>
      </c>
      <c r="D114" s="1" t="s">
        <v>356</v>
      </c>
      <c r="L114" s="32" t="s">
        <v>43</v>
      </c>
      <c r="M114" s="33" t="s">
        <v>357</v>
      </c>
      <c r="N114" s="34" t="s">
        <v>16</v>
      </c>
      <c r="O114" s="49"/>
      <c r="P114" s="49"/>
      <c r="Q114" s="49"/>
      <c r="R114" s="45">
        <f t="shared" si="16"/>
        <v>0</v>
      </c>
      <c r="S114" s="49">
        <v>0</v>
      </c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29"/>
      <c r="AY114" s="29"/>
      <c r="AZ114" s="29"/>
    </row>
    <row r="115" spans="1:52" ht="120" hidden="1" outlineLevel="1" x14ac:dyDescent="0.25">
      <c r="A115" s="21" t="str">
        <f t="shared" si="12"/>
        <v>1</v>
      </c>
      <c r="B115" s="1" t="s">
        <v>334</v>
      </c>
      <c r="C115" s="60" t="b">
        <f>D16="Водоотведение"</f>
        <v>0</v>
      </c>
      <c r="D115" s="1" t="s">
        <v>358</v>
      </c>
      <c r="L115" s="32" t="s">
        <v>44</v>
      </c>
      <c r="M115" s="77" t="s">
        <v>359</v>
      </c>
      <c r="N115" s="48" t="s">
        <v>16</v>
      </c>
      <c r="O115" s="49"/>
      <c r="P115" s="49"/>
      <c r="Q115" s="49"/>
      <c r="R115" s="45">
        <f t="shared" si="16"/>
        <v>0</v>
      </c>
      <c r="S115" s="49">
        <v>0</v>
      </c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29"/>
      <c r="AY115" s="29"/>
      <c r="AZ115" s="29"/>
    </row>
    <row r="116" spans="1:52" ht="56.25" hidden="1" outlineLevel="1" x14ac:dyDescent="0.25">
      <c r="A116" s="21" t="str">
        <f t="shared" si="12"/>
        <v>1</v>
      </c>
      <c r="B116" s="1" t="s">
        <v>347</v>
      </c>
      <c r="C116" s="60" t="b">
        <f>D16="Водоотведение"</f>
        <v>0</v>
      </c>
      <c r="D116" s="1" t="s">
        <v>360</v>
      </c>
      <c r="L116" s="32" t="s">
        <v>45</v>
      </c>
      <c r="M116" s="33" t="s">
        <v>361</v>
      </c>
      <c r="N116" s="48" t="s">
        <v>16</v>
      </c>
      <c r="O116" s="49"/>
      <c r="P116" s="49"/>
      <c r="Q116" s="49"/>
      <c r="R116" s="45">
        <f t="shared" si="16"/>
        <v>0</v>
      </c>
      <c r="S116" s="49">
        <v>0</v>
      </c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29"/>
      <c r="AY116" s="29"/>
      <c r="AZ116" s="29"/>
    </row>
    <row r="117" spans="1:52" ht="11.25" hidden="1" outlineLevel="1" x14ac:dyDescent="0.25">
      <c r="A117" s="21" t="str">
        <f t="shared" si="12"/>
        <v>1</v>
      </c>
      <c r="B117" s="1" t="s">
        <v>352</v>
      </c>
      <c r="D117" s="1" t="s">
        <v>362</v>
      </c>
      <c r="L117" s="32" t="s">
        <v>46</v>
      </c>
      <c r="M117" s="33" t="s">
        <v>363</v>
      </c>
      <c r="N117" s="34" t="s">
        <v>16</v>
      </c>
      <c r="O117" s="49"/>
      <c r="P117" s="49"/>
      <c r="Q117" s="49"/>
      <c r="R117" s="45">
        <f t="shared" si="16"/>
        <v>0</v>
      </c>
      <c r="S117" s="49">
        <v>0</v>
      </c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29"/>
      <c r="AY117" s="29"/>
      <c r="AZ117" s="29"/>
    </row>
    <row r="118" spans="1:52" ht="11.25" hidden="1" outlineLevel="1" x14ac:dyDescent="0.25">
      <c r="A118" s="21" t="str">
        <f t="shared" si="12"/>
        <v>1</v>
      </c>
      <c r="B118" s="1" t="s">
        <v>354</v>
      </c>
      <c r="D118" s="1" t="s">
        <v>364</v>
      </c>
      <c r="L118" s="32" t="s">
        <v>47</v>
      </c>
      <c r="M118" s="33" t="s">
        <v>365</v>
      </c>
      <c r="N118" s="34" t="s">
        <v>16</v>
      </c>
      <c r="O118" s="49">
        <v>0</v>
      </c>
      <c r="P118" s="49">
        <f>P119+P120</f>
        <v>0</v>
      </c>
      <c r="Q118" s="49">
        <f>Q119+Q120</f>
        <v>0</v>
      </c>
      <c r="R118" s="45">
        <f t="shared" si="16"/>
        <v>0</v>
      </c>
      <c r="S118" s="49">
        <v>0</v>
      </c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>
        <f t="shared" ref="AE118:AM118" si="17">AE119+AE120</f>
        <v>0</v>
      </c>
      <c r="AF118" s="49">
        <f t="shared" si="17"/>
        <v>0</v>
      </c>
      <c r="AG118" s="49">
        <f t="shared" si="17"/>
        <v>0</v>
      </c>
      <c r="AH118" s="49">
        <f t="shared" si="17"/>
        <v>0</v>
      </c>
      <c r="AI118" s="49">
        <f t="shared" si="17"/>
        <v>0</v>
      </c>
      <c r="AJ118" s="49">
        <f t="shared" si="17"/>
        <v>0</v>
      </c>
      <c r="AK118" s="49">
        <f t="shared" si="17"/>
        <v>0</v>
      </c>
      <c r="AL118" s="49">
        <f t="shared" si="17"/>
        <v>0</v>
      </c>
      <c r="AM118" s="49">
        <f t="shared" si="17"/>
        <v>0</v>
      </c>
      <c r="AN118" s="45">
        <f>IF(S118=0,0,(AD118-S118)/S118*100)</f>
        <v>0</v>
      </c>
      <c r="AO118" s="45">
        <f t="shared" ref="AO118:AW118" si="18">IF(AD118=0,0,(AE118-AD118)/AD118*100)</f>
        <v>0</v>
      </c>
      <c r="AP118" s="45">
        <f t="shared" si="18"/>
        <v>0</v>
      </c>
      <c r="AQ118" s="45">
        <f t="shared" si="18"/>
        <v>0</v>
      </c>
      <c r="AR118" s="45">
        <f t="shared" si="18"/>
        <v>0</v>
      </c>
      <c r="AS118" s="45">
        <f t="shared" si="18"/>
        <v>0</v>
      </c>
      <c r="AT118" s="45">
        <f t="shared" si="18"/>
        <v>0</v>
      </c>
      <c r="AU118" s="45">
        <f t="shared" si="18"/>
        <v>0</v>
      </c>
      <c r="AV118" s="45">
        <f t="shared" si="18"/>
        <v>0</v>
      </c>
      <c r="AW118" s="45">
        <f t="shared" si="18"/>
        <v>0</v>
      </c>
      <c r="AX118" s="29"/>
      <c r="AY118" s="29"/>
      <c r="AZ118" s="29"/>
    </row>
    <row r="119" spans="1:52" ht="30" hidden="1" outlineLevel="1" x14ac:dyDescent="0.25">
      <c r="A119" s="21" t="str">
        <f t="shared" si="12"/>
        <v>1</v>
      </c>
      <c r="B119" s="1" t="s">
        <v>366</v>
      </c>
      <c r="D119" s="1" t="s">
        <v>367</v>
      </c>
      <c r="L119" s="32" t="s">
        <v>368</v>
      </c>
      <c r="M119" s="78" t="s">
        <v>369</v>
      </c>
      <c r="N119" s="34" t="s">
        <v>16</v>
      </c>
      <c r="O119" s="49"/>
      <c r="P119" s="49"/>
      <c r="Q119" s="49"/>
      <c r="R119" s="45">
        <f t="shared" si="16"/>
        <v>0</v>
      </c>
      <c r="S119" s="49">
        <v>0</v>
      </c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29"/>
      <c r="AY119" s="29"/>
      <c r="AZ119" s="29"/>
    </row>
    <row r="120" spans="1:52" ht="22.5" hidden="1" outlineLevel="1" x14ac:dyDescent="0.25">
      <c r="A120" s="21" t="str">
        <f t="shared" si="12"/>
        <v>1</v>
      </c>
      <c r="B120" s="1" t="s">
        <v>370</v>
      </c>
      <c r="D120" s="1" t="s">
        <v>371</v>
      </c>
      <c r="L120" s="32" t="s">
        <v>372</v>
      </c>
      <c r="M120" s="69" t="s">
        <v>373</v>
      </c>
      <c r="N120" s="34" t="s">
        <v>16</v>
      </c>
      <c r="O120" s="49"/>
      <c r="P120" s="49"/>
      <c r="Q120" s="49"/>
      <c r="R120" s="45">
        <f t="shared" si="16"/>
        <v>0</v>
      </c>
      <c r="S120" s="49">
        <v>0</v>
      </c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29"/>
      <c r="AY120" s="29"/>
      <c r="AZ120" s="29"/>
    </row>
    <row r="121" spans="1:52" ht="11.25" hidden="1" outlineLevel="1" x14ac:dyDescent="0.25">
      <c r="A121" s="21" t="str">
        <f t="shared" si="12"/>
        <v>1</v>
      </c>
      <c r="B121" s="1" t="s">
        <v>356</v>
      </c>
      <c r="D121" s="1" t="s">
        <v>374</v>
      </c>
      <c r="L121" s="79" t="s">
        <v>375</v>
      </c>
      <c r="M121" s="70" t="s">
        <v>376</v>
      </c>
      <c r="N121" s="34" t="s">
        <v>16</v>
      </c>
      <c r="O121" s="49"/>
      <c r="P121" s="49"/>
      <c r="Q121" s="49"/>
      <c r="R121" s="45">
        <f t="shared" si="16"/>
        <v>0</v>
      </c>
      <c r="S121" s="49">
        <v>0</v>
      </c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29"/>
      <c r="AY121" s="29"/>
      <c r="AZ121" s="29"/>
    </row>
    <row r="122" spans="1:52" ht="11.25" hidden="1" outlineLevel="1" x14ac:dyDescent="0.25">
      <c r="A122" s="21" t="str">
        <f t="shared" si="12"/>
        <v>1</v>
      </c>
      <c r="B122" s="1" t="s">
        <v>377</v>
      </c>
      <c r="D122" s="1" t="s">
        <v>378</v>
      </c>
      <c r="L122" s="79" t="s">
        <v>379</v>
      </c>
      <c r="M122" s="70" t="s">
        <v>380</v>
      </c>
      <c r="N122" s="34" t="s">
        <v>16</v>
      </c>
      <c r="O122" s="49"/>
      <c r="P122" s="49"/>
      <c r="Q122" s="49"/>
      <c r="R122" s="45">
        <f t="shared" si="16"/>
        <v>0</v>
      </c>
      <c r="S122" s="49">
        <v>0</v>
      </c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29"/>
      <c r="AY122" s="29"/>
      <c r="AZ122" s="29"/>
    </row>
    <row r="123" spans="1:52" s="55" customFormat="1" ht="11.25" hidden="1" outlineLevel="1" x14ac:dyDescent="0.25">
      <c r="A123" s="21" t="str">
        <f t="shared" si="12"/>
        <v>1</v>
      </c>
      <c r="D123" s="55" t="s">
        <v>377</v>
      </c>
      <c r="L123" s="56" t="s">
        <v>48</v>
      </c>
      <c r="M123" s="73" t="s">
        <v>381</v>
      </c>
      <c r="N123" s="58" t="s">
        <v>16</v>
      </c>
      <c r="O123" s="27"/>
      <c r="P123" s="27"/>
      <c r="Q123" s="27"/>
      <c r="R123" s="28">
        <f t="shared" si="16"/>
        <v>0</v>
      </c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1"/>
      <c r="AY123" s="41"/>
      <c r="AZ123" s="41"/>
    </row>
    <row r="124" spans="1:52" ht="11.25" hidden="1" outlineLevel="1" x14ac:dyDescent="0.25">
      <c r="A124" s="21" t="str">
        <f t="shared" si="12"/>
        <v>1</v>
      </c>
      <c r="D124" s="1" t="s">
        <v>382</v>
      </c>
      <c r="L124" s="32" t="s">
        <v>383</v>
      </c>
      <c r="M124" s="33" t="s">
        <v>384</v>
      </c>
      <c r="N124" s="34" t="s">
        <v>8</v>
      </c>
      <c r="O124" s="45">
        <f>IF(O125=0,0,O123/O125*100)</f>
        <v>0</v>
      </c>
      <c r="P124" s="45">
        <f>IF(P125=0,0,P123/P125*100)</f>
        <v>0</v>
      </c>
      <c r="Q124" s="45">
        <f>IF(Q125=0,0,Q123/Q125*100)</f>
        <v>0</v>
      </c>
      <c r="R124" s="45">
        <f>Q124-P124</f>
        <v>0</v>
      </c>
      <c r="S124" s="45">
        <f t="shared" ref="S124:AM124" si="19">IF(S125=0,0,S123/S125*100)</f>
        <v>0</v>
      </c>
      <c r="T124" s="45">
        <f t="shared" si="19"/>
        <v>0</v>
      </c>
      <c r="U124" s="45">
        <f t="shared" si="19"/>
        <v>0</v>
      </c>
      <c r="V124" s="45">
        <f t="shared" si="19"/>
        <v>0</v>
      </c>
      <c r="W124" s="45">
        <f t="shared" si="19"/>
        <v>0</v>
      </c>
      <c r="X124" s="45">
        <f t="shared" si="19"/>
        <v>0</v>
      </c>
      <c r="Y124" s="45">
        <f t="shared" si="19"/>
        <v>0</v>
      </c>
      <c r="Z124" s="45">
        <f t="shared" si="19"/>
        <v>0</v>
      </c>
      <c r="AA124" s="45">
        <f t="shared" si="19"/>
        <v>0</v>
      </c>
      <c r="AB124" s="45">
        <f t="shared" si="19"/>
        <v>0</v>
      </c>
      <c r="AC124" s="45">
        <f t="shared" si="19"/>
        <v>0</v>
      </c>
      <c r="AD124" s="45">
        <f t="shared" si="19"/>
        <v>0</v>
      </c>
      <c r="AE124" s="45" t="e">
        <f t="shared" si="19"/>
        <v>#VALUE!</v>
      </c>
      <c r="AF124" s="45" t="e">
        <f t="shared" si="19"/>
        <v>#VALUE!</v>
      </c>
      <c r="AG124" s="45" t="e">
        <f t="shared" si="19"/>
        <v>#VALUE!</v>
      </c>
      <c r="AH124" s="45" t="e">
        <f t="shared" si="19"/>
        <v>#VALUE!</v>
      </c>
      <c r="AI124" s="45" t="e">
        <f t="shared" si="19"/>
        <v>#VALUE!</v>
      </c>
      <c r="AJ124" s="45" t="e">
        <f t="shared" si="19"/>
        <v>#VALUE!</v>
      </c>
      <c r="AK124" s="45" t="e">
        <f t="shared" si="19"/>
        <v>#VALUE!</v>
      </c>
      <c r="AL124" s="45" t="e">
        <f t="shared" si="19"/>
        <v>#VALUE!</v>
      </c>
      <c r="AM124" s="45" t="e">
        <f t="shared" si="19"/>
        <v>#VALUE!</v>
      </c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29"/>
      <c r="AY124" s="29"/>
      <c r="AZ124" s="29"/>
    </row>
    <row r="125" spans="1:52" s="55" customFormat="1" ht="11.25" outlineLevel="1" x14ac:dyDescent="0.25">
      <c r="A125" s="21" t="str">
        <f t="shared" si="12"/>
        <v>1</v>
      </c>
      <c r="C125" s="1"/>
      <c r="D125" s="1" t="s">
        <v>348</v>
      </c>
      <c r="L125" s="56" t="s">
        <v>49</v>
      </c>
      <c r="M125" s="73" t="s">
        <v>385</v>
      </c>
      <c r="N125" s="26" t="s">
        <v>16</v>
      </c>
      <c r="O125" s="80">
        <f>O17+O67+O101+O102+O104+O109</f>
        <v>8546.9621000000006</v>
      </c>
      <c r="P125" s="59">
        <f>P17+P67+P101+P102+P104+P109</f>
        <v>8610.3474999999999</v>
      </c>
      <c r="Q125" s="59">
        <f>Q17+Q67+Q101+Q102+Q104+Q109</f>
        <v>8366.4346538972641</v>
      </c>
      <c r="R125" s="28">
        <f>Q125-P125</f>
        <v>-243.91284610273578</v>
      </c>
      <c r="S125" s="59">
        <f t="shared" ref="S125:AM125" si="20">S17+S67+S101+S102+S104+S109</f>
        <v>8966.2795000000006</v>
      </c>
      <c r="T125" s="59">
        <f t="shared" si="20"/>
        <v>9560.6180000000004</v>
      </c>
      <c r="U125" s="59">
        <f t="shared" si="20"/>
        <v>0</v>
      </c>
      <c r="V125" s="59">
        <f t="shared" si="20"/>
        <v>0</v>
      </c>
      <c r="W125" s="59">
        <f t="shared" si="20"/>
        <v>0</v>
      </c>
      <c r="X125" s="59">
        <f t="shared" si="20"/>
        <v>0</v>
      </c>
      <c r="Y125" s="59">
        <f t="shared" si="20"/>
        <v>0</v>
      </c>
      <c r="Z125" s="59">
        <f t="shared" si="20"/>
        <v>0</v>
      </c>
      <c r="AA125" s="59">
        <f t="shared" si="20"/>
        <v>0</v>
      </c>
      <c r="AB125" s="59">
        <f t="shared" si="20"/>
        <v>0</v>
      </c>
      <c r="AC125" s="59">
        <f t="shared" si="20"/>
        <v>0</v>
      </c>
      <c r="AD125" s="59">
        <f t="shared" si="20"/>
        <v>9131.814843943921</v>
      </c>
      <c r="AE125" s="59" t="e">
        <f t="shared" si="20"/>
        <v>#VALUE!</v>
      </c>
      <c r="AF125" s="59" t="e">
        <f t="shared" si="20"/>
        <v>#VALUE!</v>
      </c>
      <c r="AG125" s="59" t="e">
        <f t="shared" si="20"/>
        <v>#VALUE!</v>
      </c>
      <c r="AH125" s="59" t="e">
        <f t="shared" si="20"/>
        <v>#VALUE!</v>
      </c>
      <c r="AI125" s="59" t="e">
        <f t="shared" si="20"/>
        <v>#VALUE!</v>
      </c>
      <c r="AJ125" s="59" t="e">
        <f t="shared" si="20"/>
        <v>#VALUE!</v>
      </c>
      <c r="AK125" s="59" t="e">
        <f t="shared" si="20"/>
        <v>#VALUE!</v>
      </c>
      <c r="AL125" s="59" t="e">
        <f t="shared" si="20"/>
        <v>#VALUE!</v>
      </c>
      <c r="AM125" s="59" t="e">
        <f t="shared" si="20"/>
        <v>#VALUE!</v>
      </c>
      <c r="AN125" s="28">
        <f>IF(S125=0,0,(AD125-S125)/S125*100)</f>
        <v>1.846198793422851</v>
      </c>
      <c r="AO125" s="28" t="e">
        <f t="shared" ref="AO125:AW126" si="21">IF(AD125=0,0,(AE125-AD125)/AD125*100)</f>
        <v>#VALUE!</v>
      </c>
      <c r="AP125" s="28" t="e">
        <f t="shared" si="21"/>
        <v>#VALUE!</v>
      </c>
      <c r="AQ125" s="28" t="e">
        <f t="shared" si="21"/>
        <v>#VALUE!</v>
      </c>
      <c r="AR125" s="28" t="e">
        <f t="shared" si="21"/>
        <v>#VALUE!</v>
      </c>
      <c r="AS125" s="28" t="e">
        <f t="shared" si="21"/>
        <v>#VALUE!</v>
      </c>
      <c r="AT125" s="28" t="e">
        <f t="shared" si="21"/>
        <v>#VALUE!</v>
      </c>
      <c r="AU125" s="28" t="e">
        <f t="shared" si="21"/>
        <v>#VALUE!</v>
      </c>
      <c r="AV125" s="28" t="e">
        <f t="shared" si="21"/>
        <v>#VALUE!</v>
      </c>
      <c r="AW125" s="28" t="e">
        <f t="shared" si="21"/>
        <v>#VALUE!</v>
      </c>
      <c r="AX125" s="29"/>
      <c r="AY125" s="29"/>
      <c r="AZ125" s="29"/>
    </row>
    <row r="126" spans="1:52" s="55" customFormat="1" ht="11.25" outlineLevel="1" x14ac:dyDescent="0.25">
      <c r="A126" s="21" t="str">
        <f t="shared" si="12"/>
        <v>1</v>
      </c>
      <c r="C126" s="1"/>
      <c r="D126" s="1" t="s">
        <v>386</v>
      </c>
      <c r="L126" s="56" t="s">
        <v>387</v>
      </c>
      <c r="M126" s="73" t="s">
        <v>388</v>
      </c>
      <c r="N126" s="58" t="s">
        <v>16</v>
      </c>
      <c r="O126" s="80">
        <f t="shared" ref="O126:AM126" si="22">O125+O110+O123</f>
        <v>8608.6720999999998</v>
      </c>
      <c r="P126" s="59">
        <f t="shared" si="22"/>
        <v>8610.3474999999999</v>
      </c>
      <c r="Q126" s="59">
        <f t="shared" si="22"/>
        <v>8428.1494057345335</v>
      </c>
      <c r="R126" s="59">
        <f t="shared" si="22"/>
        <v>-182.19809426546655</v>
      </c>
      <c r="S126" s="59">
        <f t="shared" si="22"/>
        <v>8784.1395000000011</v>
      </c>
      <c r="T126" s="59">
        <f t="shared" si="22"/>
        <v>9978.4199999999983</v>
      </c>
      <c r="U126" s="59">
        <f t="shared" si="22"/>
        <v>0</v>
      </c>
      <c r="V126" s="59">
        <f t="shared" si="22"/>
        <v>0</v>
      </c>
      <c r="W126" s="59">
        <f t="shared" si="22"/>
        <v>0</v>
      </c>
      <c r="X126" s="59">
        <f t="shared" si="22"/>
        <v>0</v>
      </c>
      <c r="Y126" s="59">
        <f t="shared" si="22"/>
        <v>0</v>
      </c>
      <c r="Z126" s="59">
        <f t="shared" si="22"/>
        <v>0</v>
      </c>
      <c r="AA126" s="59">
        <f t="shared" si="22"/>
        <v>0</v>
      </c>
      <c r="AB126" s="59">
        <f t="shared" si="22"/>
        <v>0</v>
      </c>
      <c r="AC126" s="59">
        <f t="shared" si="22"/>
        <v>0</v>
      </c>
      <c r="AD126" s="59">
        <f t="shared" si="22"/>
        <v>9637.0602712922828</v>
      </c>
      <c r="AE126" s="59" t="e">
        <f t="shared" si="22"/>
        <v>#VALUE!</v>
      </c>
      <c r="AF126" s="59" t="e">
        <f t="shared" si="22"/>
        <v>#VALUE!</v>
      </c>
      <c r="AG126" s="59" t="e">
        <f t="shared" si="22"/>
        <v>#VALUE!</v>
      </c>
      <c r="AH126" s="59" t="e">
        <f t="shared" si="22"/>
        <v>#VALUE!</v>
      </c>
      <c r="AI126" s="59" t="e">
        <f t="shared" si="22"/>
        <v>#VALUE!</v>
      </c>
      <c r="AJ126" s="59" t="e">
        <f t="shared" si="22"/>
        <v>#VALUE!</v>
      </c>
      <c r="AK126" s="59" t="e">
        <f t="shared" si="22"/>
        <v>#VALUE!</v>
      </c>
      <c r="AL126" s="59" t="e">
        <f t="shared" si="22"/>
        <v>#VALUE!</v>
      </c>
      <c r="AM126" s="59" t="e">
        <f t="shared" si="22"/>
        <v>#VALUE!</v>
      </c>
      <c r="AN126" s="28">
        <f>IF(S126=0,0,(AD126-S126)/S126*100)</f>
        <v>9.7097817184287845</v>
      </c>
      <c r="AO126" s="28" t="e">
        <f t="shared" si="21"/>
        <v>#VALUE!</v>
      </c>
      <c r="AP126" s="28" t="e">
        <f t="shared" si="21"/>
        <v>#VALUE!</v>
      </c>
      <c r="AQ126" s="28" t="e">
        <f t="shared" si="21"/>
        <v>#VALUE!</v>
      </c>
      <c r="AR126" s="28" t="e">
        <f t="shared" si="21"/>
        <v>#VALUE!</v>
      </c>
      <c r="AS126" s="28" t="e">
        <f t="shared" si="21"/>
        <v>#VALUE!</v>
      </c>
      <c r="AT126" s="28" t="e">
        <f t="shared" si="21"/>
        <v>#VALUE!</v>
      </c>
      <c r="AU126" s="28" t="e">
        <f t="shared" si="21"/>
        <v>#VALUE!</v>
      </c>
      <c r="AV126" s="28" t="e">
        <f t="shared" si="21"/>
        <v>#VALUE!</v>
      </c>
      <c r="AW126" s="28" t="e">
        <f t="shared" si="21"/>
        <v>#VALUE!</v>
      </c>
      <c r="AX126" s="29"/>
      <c r="AY126" s="29"/>
      <c r="AZ126" s="29"/>
    </row>
    <row r="127" spans="1:52" ht="15" hidden="1" outlineLevel="1" x14ac:dyDescent="0.25">
      <c r="A127" s="21" t="str">
        <f t="shared" si="12"/>
        <v>1</v>
      </c>
      <c r="C127" s="60" t="b">
        <f>B16="двухставочный"</f>
        <v>0</v>
      </c>
      <c r="D127" s="81" t="s">
        <v>389</v>
      </c>
      <c r="L127" s="79" t="s">
        <v>390</v>
      </c>
      <c r="M127" s="70" t="s">
        <v>391</v>
      </c>
      <c r="N127" s="34" t="s">
        <v>16</v>
      </c>
      <c r="O127" s="49"/>
      <c r="P127" s="49"/>
      <c r="Q127" s="49"/>
      <c r="R127" s="45">
        <f>Q127-P127</f>
        <v>0</v>
      </c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29"/>
      <c r="AY127" s="29"/>
      <c r="AZ127" s="29"/>
    </row>
    <row r="128" spans="1:52" ht="15" hidden="1" outlineLevel="1" x14ac:dyDescent="0.25">
      <c r="A128" s="21" t="str">
        <f t="shared" si="12"/>
        <v>1</v>
      </c>
      <c r="C128" s="60" t="b">
        <f>B16="двухставочный"</f>
        <v>0</v>
      </c>
      <c r="D128" s="81" t="s">
        <v>392</v>
      </c>
      <c r="L128" s="79" t="s">
        <v>393</v>
      </c>
      <c r="M128" s="70" t="s">
        <v>394</v>
      </c>
      <c r="N128" s="34" t="s">
        <v>16</v>
      </c>
      <c r="O128" s="49"/>
      <c r="P128" s="49"/>
      <c r="Q128" s="49"/>
      <c r="R128" s="45">
        <f>Q128-P128</f>
        <v>0</v>
      </c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29"/>
      <c r="AY128" s="29"/>
      <c r="AZ128" s="29"/>
    </row>
    <row r="129" spans="1:52" s="55" customFormat="1" ht="11.25" outlineLevel="1" x14ac:dyDescent="0.25">
      <c r="A129" s="21" t="str">
        <f t="shared" si="12"/>
        <v>1</v>
      </c>
      <c r="B129" s="1" t="s">
        <v>395</v>
      </c>
      <c r="C129" s="1"/>
      <c r="D129" s="1" t="s">
        <v>396</v>
      </c>
      <c r="L129" s="56" t="s">
        <v>397</v>
      </c>
      <c r="M129" s="73" t="s">
        <v>398</v>
      </c>
      <c r="N129" s="58" t="s">
        <v>3</v>
      </c>
      <c r="O129" s="82">
        <f>SUMIFS([1]Баланс!O$16:O$67,[1]Баланс!$A$16:$A$67,$A129,[1]Баланс!$B$16:$B$67,"ПО")</f>
        <v>107.06</v>
      </c>
      <c r="P129" s="82">
        <f>SUMIFS([1]Баланс!P$16:P$67,[1]Баланс!$A$16:$A$67,$A129,[1]Баланс!$B$16:$B$67,"ПО")</f>
        <v>99.573000000000008</v>
      </c>
      <c r="Q129" s="82">
        <f>SUMIFS([1]Баланс!Q$16:Q$67,[1]Баланс!$A$16:$A$67,$A129,[1]Баланс!$B$16:$B$67,"ПО")</f>
        <v>99.573000000000008</v>
      </c>
      <c r="R129" s="82">
        <f>Q129-P129</f>
        <v>0</v>
      </c>
      <c r="S129" s="82">
        <f>SUMIFS([1]Баланс!R$16:R$67,[1]Баланс!$A$16:$A$67,$A129,[1]Баланс!$B$16:$B$67,"ПО")</f>
        <v>107.06</v>
      </c>
      <c r="T129" s="82">
        <f>SUMIFS([1]Баланс!S$16:S$67,[1]Баланс!$A$16:$A$67,$A129,[1]Баланс!$B$16:$B$67,"ПО")</f>
        <v>107.06</v>
      </c>
      <c r="U129" s="82">
        <f>SUMIFS([1]Баланс!T$16:T$67,[1]Баланс!$A$16:$A$67,$A129,[1]Баланс!$B$16:$B$67,"ПО")</f>
        <v>0</v>
      </c>
      <c r="V129" s="82">
        <f>SUMIFS([1]Баланс!U$16:U$67,[1]Баланс!$A$16:$A$67,$A129,[1]Баланс!$B$16:$B$67,"ПО")</f>
        <v>0</v>
      </c>
      <c r="W129" s="82">
        <f>SUMIFS([1]Баланс!V$16:V$67,[1]Баланс!$A$16:$A$67,$A129,[1]Баланс!$B$16:$B$67,"ПО")</f>
        <v>0</v>
      </c>
      <c r="X129" s="82">
        <f>SUMIFS([1]Баланс!W$16:W$67,[1]Баланс!$A$16:$A$67,$A129,[1]Баланс!$B$16:$B$67,"ПО")</f>
        <v>0</v>
      </c>
      <c r="Y129" s="82">
        <f>SUMIFS([1]Баланс!X$16:X$67,[1]Баланс!$A$16:$A$67,$A129,[1]Баланс!$B$16:$B$67,"ПО")</f>
        <v>0</v>
      </c>
      <c r="Z129" s="82">
        <f>SUMIFS([1]Баланс!Y$16:Y$67,[1]Баланс!$A$16:$A$67,$A129,[1]Баланс!$B$16:$B$67,"ПО")</f>
        <v>0</v>
      </c>
      <c r="AA129" s="82">
        <f>SUMIFS([1]Баланс!Z$16:Z$67,[1]Баланс!$A$16:$A$67,$A129,[1]Баланс!$B$16:$B$67,"ПО")</f>
        <v>0</v>
      </c>
      <c r="AB129" s="82">
        <f>SUMIFS([1]Баланс!AA$16:AA$67,[1]Баланс!$A$16:$A$67,$A129,[1]Баланс!$B$16:$B$67,"ПО")</f>
        <v>0</v>
      </c>
      <c r="AC129" s="82">
        <f>SUMIFS([1]Баланс!AB$16:AB$67,[1]Баланс!$A$16:$A$67,$A129,[1]Баланс!$B$16:$B$67,"ПО")</f>
        <v>0</v>
      </c>
      <c r="AD129" s="82">
        <f>T129</f>
        <v>107.06</v>
      </c>
      <c r="AE129" s="82">
        <f>SUMIFS([1]Баланс!AD$16:AD$67,[1]Баланс!$A$16:$A$67,$A129,[1]Баланс!$B$16:$B$67,"ПО")</f>
        <v>0</v>
      </c>
      <c r="AF129" s="82">
        <f>SUMIFS([1]Баланс!AE$16:AE$67,[1]Баланс!$A$16:$A$67,$A129,[1]Баланс!$B$16:$B$67,"ПО")</f>
        <v>0</v>
      </c>
      <c r="AG129" s="82">
        <f>SUMIFS([1]Баланс!AF$16:AF$67,[1]Баланс!$A$16:$A$67,$A129,[1]Баланс!$B$16:$B$67,"ПО")</f>
        <v>0</v>
      </c>
      <c r="AH129" s="82">
        <f>SUMIFS([1]Баланс!AG$16:AG$67,[1]Баланс!$A$16:$A$67,$A129,[1]Баланс!$B$16:$B$67,"ПО")</f>
        <v>0</v>
      </c>
      <c r="AI129" s="82">
        <f>SUMIFS([1]Баланс!AH$16:AH$67,[1]Баланс!$A$16:$A$67,$A129,[1]Баланс!$B$16:$B$67,"ПО")</f>
        <v>0</v>
      </c>
      <c r="AJ129" s="82">
        <f>SUMIFS([1]Баланс!AI$16:AI$67,[1]Баланс!$A$16:$A$67,$A129,[1]Баланс!$B$16:$B$67,"ПО")</f>
        <v>0</v>
      </c>
      <c r="AK129" s="82">
        <f>SUMIFS([1]Баланс!AJ$16:AJ$67,[1]Баланс!$A$16:$A$67,$A129,[1]Баланс!$B$16:$B$67,"ПО")</f>
        <v>0</v>
      </c>
      <c r="AL129" s="82">
        <f>SUMIFS([1]Баланс!AK$16:AK$67,[1]Баланс!$A$16:$A$67,$A129,[1]Баланс!$B$16:$B$67,"ПО")</f>
        <v>0</v>
      </c>
      <c r="AM129" s="82">
        <f>SUMIFS([1]Баланс!AL$16:AL$67,[1]Баланс!$A$16:$A$67,$A129,[1]Баланс!$B$16:$B$67,"ПО")</f>
        <v>0</v>
      </c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29"/>
      <c r="AY129" s="29"/>
      <c r="AZ129" s="29"/>
    </row>
    <row r="130" spans="1:52" ht="15" outlineLevel="1" x14ac:dyDescent="0.25">
      <c r="A130" s="21" t="str">
        <f t="shared" si="12"/>
        <v>1</v>
      </c>
      <c r="B130" s="1" t="s">
        <v>399</v>
      </c>
      <c r="D130" s="1" t="s">
        <v>400</v>
      </c>
      <c r="L130" s="32" t="s">
        <v>401</v>
      </c>
      <c r="M130" s="77" t="s">
        <v>402</v>
      </c>
      <c r="N130" s="34" t="s">
        <v>3</v>
      </c>
      <c r="O130" s="83">
        <v>53.53</v>
      </c>
      <c r="P130" s="83">
        <f>P129/2</f>
        <v>49.786500000000004</v>
      </c>
      <c r="Q130" s="83">
        <f>Q129/2</f>
        <v>49.786500000000004</v>
      </c>
      <c r="R130" s="36">
        <f t="shared" si="16"/>
        <v>0</v>
      </c>
      <c r="S130" s="83">
        <v>53.53</v>
      </c>
      <c r="T130" s="83">
        <f t="shared" ref="T130:AM130" si="23">T129/2</f>
        <v>53.53</v>
      </c>
      <c r="U130" s="83">
        <f t="shared" si="23"/>
        <v>0</v>
      </c>
      <c r="V130" s="83">
        <f t="shared" si="23"/>
        <v>0</v>
      </c>
      <c r="W130" s="83">
        <f t="shared" si="23"/>
        <v>0</v>
      </c>
      <c r="X130" s="83">
        <f t="shared" si="23"/>
        <v>0</v>
      </c>
      <c r="Y130" s="83">
        <f t="shared" si="23"/>
        <v>0</v>
      </c>
      <c r="Z130" s="83">
        <f t="shared" si="23"/>
        <v>0</v>
      </c>
      <c r="AA130" s="83">
        <f t="shared" si="23"/>
        <v>0</v>
      </c>
      <c r="AB130" s="83">
        <f t="shared" si="23"/>
        <v>0</v>
      </c>
      <c r="AC130" s="83">
        <f t="shared" si="23"/>
        <v>0</v>
      </c>
      <c r="AD130" s="83">
        <f t="shared" si="23"/>
        <v>53.53</v>
      </c>
      <c r="AE130" s="83">
        <f t="shared" si="23"/>
        <v>0</v>
      </c>
      <c r="AF130" s="83">
        <f t="shared" si="23"/>
        <v>0</v>
      </c>
      <c r="AG130" s="83">
        <f t="shared" si="23"/>
        <v>0</v>
      </c>
      <c r="AH130" s="83">
        <f t="shared" si="23"/>
        <v>0</v>
      </c>
      <c r="AI130" s="83">
        <f t="shared" si="23"/>
        <v>0</v>
      </c>
      <c r="AJ130" s="83">
        <f t="shared" si="23"/>
        <v>0</v>
      </c>
      <c r="AK130" s="83">
        <f t="shared" si="23"/>
        <v>0</v>
      </c>
      <c r="AL130" s="83">
        <f t="shared" si="23"/>
        <v>0</v>
      </c>
      <c r="AM130" s="83">
        <f t="shared" si="23"/>
        <v>0</v>
      </c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29"/>
      <c r="AY130" s="29"/>
      <c r="AZ130" s="29"/>
    </row>
    <row r="131" spans="1:52" ht="15" outlineLevel="1" x14ac:dyDescent="0.25">
      <c r="A131" s="21" t="str">
        <f t="shared" si="12"/>
        <v>1</v>
      </c>
      <c r="B131" s="1" t="s">
        <v>403</v>
      </c>
      <c r="D131" s="1" t="s">
        <v>404</v>
      </c>
      <c r="L131" s="32" t="s">
        <v>405</v>
      </c>
      <c r="M131" s="77" t="s">
        <v>406</v>
      </c>
      <c r="N131" s="34" t="s">
        <v>407</v>
      </c>
      <c r="O131" s="84">
        <v>80.41</v>
      </c>
      <c r="P131" s="84">
        <f>P126/P129</f>
        <v>86.472713486587722</v>
      </c>
      <c r="Q131" s="84">
        <f>Q126/Q129</f>
        <v>84.642919322853913</v>
      </c>
      <c r="R131" s="45">
        <f t="shared" si="16"/>
        <v>-1.8297941637338084</v>
      </c>
      <c r="S131" s="84">
        <v>80.41</v>
      </c>
      <c r="T131" s="84">
        <f>S133</f>
        <v>83.687515411899994</v>
      </c>
      <c r="U131" s="84"/>
      <c r="V131" s="84"/>
      <c r="W131" s="84"/>
      <c r="X131" s="84"/>
      <c r="Y131" s="84"/>
      <c r="Z131" s="84"/>
      <c r="AA131" s="84"/>
      <c r="AB131" s="84"/>
      <c r="AC131" s="84"/>
      <c r="AD131" s="84">
        <f>S133</f>
        <v>83.687515411899994</v>
      </c>
      <c r="AE131" s="84"/>
      <c r="AF131" s="84"/>
      <c r="AG131" s="84"/>
      <c r="AH131" s="84"/>
      <c r="AI131" s="84"/>
      <c r="AJ131" s="84"/>
      <c r="AK131" s="84"/>
      <c r="AL131" s="84"/>
      <c r="AM131" s="84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29"/>
      <c r="AY131" s="29"/>
      <c r="AZ131" s="29"/>
    </row>
    <row r="132" spans="1:52" ht="15" outlineLevel="1" x14ac:dyDescent="0.25">
      <c r="A132" s="21" t="str">
        <f t="shared" si="12"/>
        <v>1</v>
      </c>
      <c r="B132" s="1" t="s">
        <v>408</v>
      </c>
      <c r="D132" s="1" t="s">
        <v>409</v>
      </c>
      <c r="L132" s="32" t="s">
        <v>410</v>
      </c>
      <c r="M132" s="77" t="s">
        <v>411</v>
      </c>
      <c r="N132" s="34" t="s">
        <v>3</v>
      </c>
      <c r="O132" s="85">
        <f>O129-O130</f>
        <v>53.53</v>
      </c>
      <c r="P132" s="85">
        <f>P129-P130</f>
        <v>49.786500000000004</v>
      </c>
      <c r="Q132" s="85">
        <f>Q129-Q130</f>
        <v>49.786500000000004</v>
      </c>
      <c r="R132" s="36">
        <f t="shared" si="16"/>
        <v>0</v>
      </c>
      <c r="S132" s="85">
        <f t="shared" ref="S132:AM132" si="24">S129-S130</f>
        <v>53.53</v>
      </c>
      <c r="T132" s="85">
        <f t="shared" si="24"/>
        <v>53.53</v>
      </c>
      <c r="U132" s="85">
        <f t="shared" si="24"/>
        <v>0</v>
      </c>
      <c r="V132" s="85">
        <f t="shared" si="24"/>
        <v>0</v>
      </c>
      <c r="W132" s="85">
        <f t="shared" si="24"/>
        <v>0</v>
      </c>
      <c r="X132" s="85">
        <f t="shared" si="24"/>
        <v>0</v>
      </c>
      <c r="Y132" s="85">
        <f t="shared" si="24"/>
        <v>0</v>
      </c>
      <c r="Z132" s="85">
        <f t="shared" si="24"/>
        <v>0</v>
      </c>
      <c r="AA132" s="85">
        <f t="shared" si="24"/>
        <v>0</v>
      </c>
      <c r="AB132" s="85">
        <f t="shared" si="24"/>
        <v>0</v>
      </c>
      <c r="AC132" s="85">
        <f t="shared" si="24"/>
        <v>0</v>
      </c>
      <c r="AD132" s="85">
        <f t="shared" si="24"/>
        <v>53.53</v>
      </c>
      <c r="AE132" s="85">
        <f t="shared" si="24"/>
        <v>0</v>
      </c>
      <c r="AF132" s="85">
        <f t="shared" si="24"/>
        <v>0</v>
      </c>
      <c r="AG132" s="85">
        <f t="shared" si="24"/>
        <v>0</v>
      </c>
      <c r="AH132" s="85">
        <f t="shared" si="24"/>
        <v>0</v>
      </c>
      <c r="AI132" s="85">
        <f t="shared" si="24"/>
        <v>0</v>
      </c>
      <c r="AJ132" s="85">
        <f t="shared" si="24"/>
        <v>0</v>
      </c>
      <c r="AK132" s="85">
        <f t="shared" si="24"/>
        <v>0</v>
      </c>
      <c r="AL132" s="85">
        <f t="shared" si="24"/>
        <v>0</v>
      </c>
      <c r="AM132" s="85">
        <f t="shared" si="24"/>
        <v>0</v>
      </c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29"/>
      <c r="AY132" s="29"/>
      <c r="AZ132" s="29"/>
    </row>
    <row r="133" spans="1:52" ht="15" outlineLevel="1" x14ac:dyDescent="0.25">
      <c r="A133" s="21" t="str">
        <f t="shared" si="12"/>
        <v>1</v>
      </c>
      <c r="B133" s="1" t="s">
        <v>412</v>
      </c>
      <c r="D133" s="1" t="s">
        <v>413</v>
      </c>
      <c r="L133" s="32" t="s">
        <v>414</v>
      </c>
      <c r="M133" s="77" t="s">
        <v>415</v>
      </c>
      <c r="N133" s="34" t="s">
        <v>407</v>
      </c>
      <c r="O133" s="84">
        <v>80.409540444599997</v>
      </c>
      <c r="P133" s="84">
        <f>IF(P132=0,0,(P126-P130*P131)/P132)</f>
        <v>86.472713486587722</v>
      </c>
      <c r="Q133" s="84">
        <f>IF(Q132=0,0,(Q126-Q130*Q131)/Q132)</f>
        <v>84.642919322853913</v>
      </c>
      <c r="R133" s="45">
        <f t="shared" si="16"/>
        <v>-1.8297941637338084</v>
      </c>
      <c r="S133" s="84">
        <v>83.687515411899994</v>
      </c>
      <c r="T133" s="84">
        <f>IF(T132=0,0,(T126-T130*T131)/T132)</f>
        <v>102.72048010463276</v>
      </c>
      <c r="U133" s="84">
        <f t="shared" ref="U133:AM133" si="25">IF(U132=0,0,(U126-U130*U131)/U132)</f>
        <v>0</v>
      </c>
      <c r="V133" s="84">
        <f t="shared" si="25"/>
        <v>0</v>
      </c>
      <c r="W133" s="84">
        <f t="shared" si="25"/>
        <v>0</v>
      </c>
      <c r="X133" s="84">
        <f t="shared" si="25"/>
        <v>0</v>
      </c>
      <c r="Y133" s="84">
        <f t="shared" si="25"/>
        <v>0</v>
      </c>
      <c r="Z133" s="84">
        <f t="shared" si="25"/>
        <v>0</v>
      </c>
      <c r="AA133" s="84">
        <f t="shared" si="25"/>
        <v>0</v>
      </c>
      <c r="AB133" s="84">
        <f t="shared" si="25"/>
        <v>0</v>
      </c>
      <c r="AC133" s="84">
        <f t="shared" si="25"/>
        <v>0</v>
      </c>
      <c r="AD133" s="84">
        <f>IF(AD132=0,0,(AD126-AD130*AD131)/AD132)</f>
        <v>96.343500304376533</v>
      </c>
      <c r="AE133" s="84">
        <f>IF(AE132=0,0,(AE126-AE130*AE131)/AE132)</f>
        <v>0</v>
      </c>
      <c r="AF133" s="84">
        <f>IF(AF132=0,0,(AF126-AF130*AF131)/AF132)</f>
        <v>0</v>
      </c>
      <c r="AG133" s="84">
        <f t="shared" si="25"/>
        <v>0</v>
      </c>
      <c r="AH133" s="84">
        <f t="shared" si="25"/>
        <v>0</v>
      </c>
      <c r="AI133" s="84">
        <f t="shared" si="25"/>
        <v>0</v>
      </c>
      <c r="AJ133" s="84">
        <f t="shared" si="25"/>
        <v>0</v>
      </c>
      <c r="AK133" s="84">
        <f t="shared" si="25"/>
        <v>0</v>
      </c>
      <c r="AL133" s="84">
        <f t="shared" si="25"/>
        <v>0</v>
      </c>
      <c r="AM133" s="84">
        <f t="shared" si="25"/>
        <v>0</v>
      </c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29"/>
      <c r="AY133" s="29"/>
      <c r="AZ133" s="29"/>
    </row>
    <row r="134" spans="1:52" ht="11.25" outlineLevel="1" x14ac:dyDescent="0.25">
      <c r="A134" s="21" t="str">
        <f t="shared" si="12"/>
        <v>1</v>
      </c>
      <c r="D134" s="1" t="s">
        <v>416</v>
      </c>
      <c r="L134" s="32" t="s">
        <v>417</v>
      </c>
      <c r="M134" s="33" t="s">
        <v>418</v>
      </c>
      <c r="N134" s="34" t="s">
        <v>8</v>
      </c>
      <c r="O134" s="86">
        <f>IF(O131=0,0,O133/O131*100)</f>
        <v>99.999428484765573</v>
      </c>
      <c r="P134" s="86">
        <f>IF(P131=0,0,P133/P131*100)</f>
        <v>100</v>
      </c>
      <c r="Q134" s="86">
        <f>IF(Q131=0,0,Q133/Q131*100)</f>
        <v>100</v>
      </c>
      <c r="R134" s="37"/>
      <c r="S134" s="86">
        <f t="shared" ref="S134:AM134" si="26">IF(S131=0,0,S133/S131*100)</f>
        <v>104.07600474057952</v>
      </c>
      <c r="T134" s="86">
        <f t="shared" si="26"/>
        <v>122.74289611664868</v>
      </c>
      <c r="U134" s="86">
        <f t="shared" si="26"/>
        <v>0</v>
      </c>
      <c r="V134" s="86">
        <f t="shared" si="26"/>
        <v>0</v>
      </c>
      <c r="W134" s="86">
        <f t="shared" si="26"/>
        <v>0</v>
      </c>
      <c r="X134" s="86">
        <f t="shared" si="26"/>
        <v>0</v>
      </c>
      <c r="Y134" s="86">
        <f t="shared" si="26"/>
        <v>0</v>
      </c>
      <c r="Z134" s="86">
        <f t="shared" si="26"/>
        <v>0</v>
      </c>
      <c r="AA134" s="86">
        <f t="shared" si="26"/>
        <v>0</v>
      </c>
      <c r="AB134" s="86">
        <f t="shared" si="26"/>
        <v>0</v>
      </c>
      <c r="AC134" s="86">
        <f t="shared" si="26"/>
        <v>0</v>
      </c>
      <c r="AD134" s="86">
        <f t="shared" si="26"/>
        <v>115.12290672053685</v>
      </c>
      <c r="AE134" s="86">
        <f t="shared" si="26"/>
        <v>0</v>
      </c>
      <c r="AF134" s="86">
        <f t="shared" si="26"/>
        <v>0</v>
      </c>
      <c r="AG134" s="86">
        <f t="shared" si="26"/>
        <v>0</v>
      </c>
      <c r="AH134" s="86">
        <f t="shared" si="26"/>
        <v>0</v>
      </c>
      <c r="AI134" s="86">
        <f t="shared" si="26"/>
        <v>0</v>
      </c>
      <c r="AJ134" s="86">
        <f t="shared" si="26"/>
        <v>0</v>
      </c>
      <c r="AK134" s="86">
        <f t="shared" si="26"/>
        <v>0</v>
      </c>
      <c r="AL134" s="86">
        <f t="shared" si="26"/>
        <v>0</v>
      </c>
      <c r="AM134" s="86">
        <f t="shared" si="26"/>
        <v>0</v>
      </c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29"/>
      <c r="AY134" s="29"/>
      <c r="AZ134" s="29"/>
    </row>
    <row r="135" spans="1:52" ht="11.25" outlineLevel="1" x14ac:dyDescent="0.25">
      <c r="A135" s="21" t="str">
        <f t="shared" si="12"/>
        <v>1</v>
      </c>
      <c r="D135" s="1" t="s">
        <v>419</v>
      </c>
      <c r="L135" s="32" t="s">
        <v>420</v>
      </c>
      <c r="M135" s="33" t="s">
        <v>421</v>
      </c>
      <c r="N135" s="34" t="s">
        <v>407</v>
      </c>
      <c r="O135" s="84">
        <v>80.409770222299997</v>
      </c>
      <c r="P135" s="84">
        <f>IF(P129=0,0,P126/P129)</f>
        <v>86.472713486587722</v>
      </c>
      <c r="Q135" s="84">
        <f>IF(Q129=0,0,Q126/Q129)</f>
        <v>84.642919322853913</v>
      </c>
      <c r="R135" s="45">
        <f t="shared" si="16"/>
        <v>-1.8297941637338084</v>
      </c>
      <c r="S135" s="84">
        <v>82.048757706000004</v>
      </c>
      <c r="T135" s="84">
        <f>IF(T129=0,0,T126/T129)</f>
        <v>93.203997758266368</v>
      </c>
      <c r="U135" s="84">
        <f t="shared" ref="U135:AM135" si="27">IF(U129=0,0,U126/U129)</f>
        <v>0</v>
      </c>
      <c r="V135" s="84">
        <f t="shared" si="27"/>
        <v>0</v>
      </c>
      <c r="W135" s="84">
        <f t="shared" si="27"/>
        <v>0</v>
      </c>
      <c r="X135" s="84">
        <f t="shared" si="27"/>
        <v>0</v>
      </c>
      <c r="Y135" s="84">
        <f t="shared" si="27"/>
        <v>0</v>
      </c>
      <c r="Z135" s="84">
        <f t="shared" si="27"/>
        <v>0</v>
      </c>
      <c r="AA135" s="84">
        <f t="shared" si="27"/>
        <v>0</v>
      </c>
      <c r="AB135" s="84">
        <f t="shared" si="27"/>
        <v>0</v>
      </c>
      <c r="AC135" s="84">
        <f t="shared" si="27"/>
        <v>0</v>
      </c>
      <c r="AD135" s="84">
        <f>IF(AD129=0,0,AD126/AD129)</f>
        <v>90.015507858138264</v>
      </c>
      <c r="AE135" s="84">
        <f>IF(AE129=0,0,AE126/AE129)</f>
        <v>0</v>
      </c>
      <c r="AF135" s="84">
        <f>IF(AF129=0,0,AF126/AF129)</f>
        <v>0</v>
      </c>
      <c r="AG135" s="84">
        <f t="shared" si="27"/>
        <v>0</v>
      </c>
      <c r="AH135" s="84">
        <f t="shared" si="27"/>
        <v>0</v>
      </c>
      <c r="AI135" s="84">
        <f t="shared" si="27"/>
        <v>0</v>
      </c>
      <c r="AJ135" s="84">
        <f t="shared" si="27"/>
        <v>0</v>
      </c>
      <c r="AK135" s="84">
        <f t="shared" si="27"/>
        <v>0</v>
      </c>
      <c r="AL135" s="84">
        <f t="shared" si="27"/>
        <v>0</v>
      </c>
      <c r="AM135" s="84">
        <f t="shared" si="27"/>
        <v>0</v>
      </c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29"/>
      <c r="AY135" s="29"/>
      <c r="AZ135" s="29"/>
    </row>
    <row r="136" spans="1:52" s="55" customFormat="1" ht="11.25" outlineLevel="1" x14ac:dyDescent="0.25">
      <c r="A136" s="21" t="str">
        <f t="shared" si="12"/>
        <v>1</v>
      </c>
      <c r="C136" s="1"/>
      <c r="D136" s="1" t="s">
        <v>422</v>
      </c>
      <c r="L136" s="56" t="s">
        <v>423</v>
      </c>
      <c r="M136" s="73" t="s">
        <v>424</v>
      </c>
      <c r="N136" s="58" t="s">
        <v>16</v>
      </c>
      <c r="O136" s="80">
        <f>IF(O129=0,0,O126/O129*O137)</f>
        <v>7455.5957137306177</v>
      </c>
      <c r="P136" s="80">
        <f>IF(P129=0,0,P126/P129*P137)</f>
        <v>7467.2647004207956</v>
      </c>
      <c r="Q136" s="80">
        <f>IF(Q129=0,0,Q126/Q129*Q137)</f>
        <v>7309.2546552057265</v>
      </c>
      <c r="R136" s="59">
        <f>R138*R139+R140*R141</f>
        <v>0</v>
      </c>
      <c r="S136" s="80">
        <f>IF(S129=0,0,S126/S129*S137)</f>
        <v>7607.5603814683354</v>
      </c>
      <c r="T136" s="80">
        <f>IF(T129=0,0,T126/T129*T137)</f>
        <v>8641.8746721464577</v>
      </c>
      <c r="U136" s="80">
        <f t="shared" ref="U136:AM136" si="28">IF(U129=0,0,U126/U129*U137)</f>
        <v>0</v>
      </c>
      <c r="V136" s="80">
        <f t="shared" si="28"/>
        <v>0</v>
      </c>
      <c r="W136" s="80">
        <f t="shared" si="28"/>
        <v>0</v>
      </c>
      <c r="X136" s="80">
        <f t="shared" si="28"/>
        <v>0</v>
      </c>
      <c r="Y136" s="80">
        <f t="shared" si="28"/>
        <v>0</v>
      </c>
      <c r="Z136" s="80">
        <f t="shared" si="28"/>
        <v>0</v>
      </c>
      <c r="AA136" s="80">
        <f t="shared" si="28"/>
        <v>0</v>
      </c>
      <c r="AB136" s="80">
        <f t="shared" si="28"/>
        <v>0</v>
      </c>
      <c r="AC136" s="80">
        <f t="shared" si="28"/>
        <v>0</v>
      </c>
      <c r="AD136" s="80">
        <f>IF(AD129=0,0,AD126/AD129*AD137)</f>
        <v>8346.2783955851155</v>
      </c>
      <c r="AE136" s="80">
        <f>IF(AE129=0,0,AE126/AE129*AE137)</f>
        <v>0</v>
      </c>
      <c r="AF136" s="80">
        <f>IF(AF129=0,0,AF126/AF129*AF137)</f>
        <v>0</v>
      </c>
      <c r="AG136" s="80">
        <f t="shared" si="28"/>
        <v>0</v>
      </c>
      <c r="AH136" s="80">
        <f t="shared" si="28"/>
        <v>0</v>
      </c>
      <c r="AI136" s="80">
        <f t="shared" si="28"/>
        <v>0</v>
      </c>
      <c r="AJ136" s="80">
        <f t="shared" si="28"/>
        <v>0</v>
      </c>
      <c r="AK136" s="80">
        <f t="shared" si="28"/>
        <v>0</v>
      </c>
      <c r="AL136" s="80">
        <f t="shared" si="28"/>
        <v>0</v>
      </c>
      <c r="AM136" s="80">
        <f t="shared" si="28"/>
        <v>0</v>
      </c>
      <c r="AN136" s="28">
        <f>IF(S136=0,0,(AD136-S136)/S136*100)</f>
        <v>9.7103141753072766</v>
      </c>
      <c r="AO136" s="28">
        <f>IF(AD136=0,0,(AE136-AD136)/AD136*100)</f>
        <v>-100</v>
      </c>
      <c r="AP136" s="28">
        <f>IF(AE136=0,0,(AF136-AE136)/AE136*100)</f>
        <v>0</v>
      </c>
      <c r="AQ136" s="28">
        <f>IF(AF136=0,0,(AG136-AF136)/AF136*100)</f>
        <v>0</v>
      </c>
      <c r="AR136" s="28">
        <f t="shared" ref="AR136:AW136" si="29">IF(AG136=0,0,(AH136-AG136)/AG136*100)</f>
        <v>0</v>
      </c>
      <c r="AS136" s="28">
        <f t="shared" si="29"/>
        <v>0</v>
      </c>
      <c r="AT136" s="28">
        <f t="shared" si="29"/>
        <v>0</v>
      </c>
      <c r="AU136" s="28">
        <f t="shared" si="29"/>
        <v>0</v>
      </c>
      <c r="AV136" s="28">
        <f t="shared" si="29"/>
        <v>0</v>
      </c>
      <c r="AW136" s="28">
        <f t="shared" si="29"/>
        <v>0</v>
      </c>
      <c r="AX136" s="29"/>
      <c r="AY136" s="29"/>
      <c r="AZ136" s="29"/>
    </row>
    <row r="137" spans="1:52" s="55" customFormat="1" ht="11.25" outlineLevel="1" x14ac:dyDescent="0.25">
      <c r="A137" s="21" t="str">
        <f t="shared" si="12"/>
        <v>1</v>
      </c>
      <c r="B137" s="1" t="s">
        <v>425</v>
      </c>
      <c r="C137" s="1"/>
      <c r="D137" s="1" t="s">
        <v>426</v>
      </c>
      <c r="L137" s="56" t="s">
        <v>427</v>
      </c>
      <c r="M137" s="73" t="s">
        <v>428</v>
      </c>
      <c r="N137" s="58" t="s">
        <v>3</v>
      </c>
      <c r="O137" s="82">
        <f>SUMIFS([1]Баланс!O$16:O$67,[1]Баланс!$A$16:$A$67,$A137,[1]Баланс!$B$16:$B$67,"население")</f>
        <v>92.72</v>
      </c>
      <c r="P137" s="82">
        <f>SUMIFS([1]Баланс!P$16:P$67,[1]Баланс!$A$16:$A$67,$A137,[1]Баланс!$B$16:$B$67,"население")</f>
        <v>86.353999999999999</v>
      </c>
      <c r="Q137" s="82">
        <f>SUMIFS([1]Баланс!Q$16:Q$67,[1]Баланс!$A$16:$A$67,$A137,[1]Баланс!$B$16:$B$67,"население")</f>
        <v>86.353999999999999</v>
      </c>
      <c r="R137" s="82">
        <f>Q137-P137</f>
        <v>0</v>
      </c>
      <c r="S137" s="82">
        <f>SUMIFS([1]Баланс!R$16:R$67,[1]Баланс!$A$16:$A$67,$A137,[1]Баланс!$B$16:$B$67,"население")</f>
        <v>92.72</v>
      </c>
      <c r="T137" s="82">
        <f>SUMIFS([1]Баланс!S$16:S$67,[1]Баланс!$A$16:$A$67,$A137,[1]Баланс!$B$16:$B$67,"население")</f>
        <v>92.72</v>
      </c>
      <c r="U137" s="82">
        <f>SUMIFS([1]Баланс!T$16:T$67,[1]Баланс!$A$16:$A$67,$A137,[1]Баланс!$B$16:$B$67,"население")</f>
        <v>0</v>
      </c>
      <c r="V137" s="82">
        <f>SUMIFS([1]Баланс!U$16:U$67,[1]Баланс!$A$16:$A$67,$A137,[1]Баланс!$B$16:$B$67,"население")</f>
        <v>0</v>
      </c>
      <c r="W137" s="82">
        <f>SUMIFS([1]Баланс!V$16:V$67,[1]Баланс!$A$16:$A$67,$A137,[1]Баланс!$B$16:$B$67,"население")</f>
        <v>0</v>
      </c>
      <c r="X137" s="82">
        <f>SUMIFS([1]Баланс!W$16:W$67,[1]Баланс!$A$16:$A$67,$A137,[1]Баланс!$B$16:$B$67,"население")</f>
        <v>0</v>
      </c>
      <c r="Y137" s="82">
        <f>SUMIFS([1]Баланс!X$16:X$67,[1]Баланс!$A$16:$A$67,$A137,[1]Баланс!$B$16:$B$67,"население")</f>
        <v>0</v>
      </c>
      <c r="Z137" s="82">
        <f>SUMIFS([1]Баланс!Y$16:Y$67,[1]Баланс!$A$16:$A$67,$A137,[1]Баланс!$B$16:$B$67,"население")</f>
        <v>0</v>
      </c>
      <c r="AA137" s="82">
        <f>SUMIFS([1]Баланс!Z$16:Z$67,[1]Баланс!$A$16:$A$67,$A137,[1]Баланс!$B$16:$B$67,"население")</f>
        <v>0</v>
      </c>
      <c r="AB137" s="82">
        <f>SUMIFS([1]Баланс!AA$16:AA$67,[1]Баланс!$A$16:$A$67,$A137,[1]Баланс!$B$16:$B$67,"население")</f>
        <v>0</v>
      </c>
      <c r="AC137" s="82">
        <f>SUMIFS([1]Баланс!AB$16:AB$67,[1]Баланс!$A$16:$A$67,$A137,[1]Баланс!$B$16:$B$67,"население")</f>
        <v>0</v>
      </c>
      <c r="AD137" s="82">
        <f>SUMIFS([1]Баланс!AC$16:AC$67,[1]Баланс!$A$16:$A$67,$A137,[1]Баланс!$B$16:$B$67,"население")</f>
        <v>92.72045</v>
      </c>
      <c r="AE137" s="82">
        <f>SUMIFS([1]Баланс!AD$16:AD$67,[1]Баланс!$A$16:$A$67,$A137,[1]Баланс!$B$16:$B$67,"население")</f>
        <v>0</v>
      </c>
      <c r="AF137" s="82">
        <f>SUMIFS([1]Баланс!AE$16:AE$67,[1]Баланс!$A$16:$A$67,$A137,[1]Баланс!$B$16:$B$67,"население")</f>
        <v>0</v>
      </c>
      <c r="AG137" s="82">
        <f>SUMIFS([1]Баланс!AF$16:AF$67,[1]Баланс!$A$16:$A$67,$A137,[1]Баланс!$B$16:$B$67,"население")</f>
        <v>0</v>
      </c>
      <c r="AH137" s="82">
        <f>SUMIFS([1]Баланс!AG$16:AG$67,[1]Баланс!$A$16:$A$67,$A137,[1]Баланс!$B$16:$B$67,"население")</f>
        <v>0</v>
      </c>
      <c r="AI137" s="82">
        <f>SUMIFS([1]Баланс!AH$16:AH$67,[1]Баланс!$A$16:$A$67,$A137,[1]Баланс!$B$16:$B$67,"население")</f>
        <v>0</v>
      </c>
      <c r="AJ137" s="82">
        <f>SUMIFS([1]Баланс!AI$16:AI$67,[1]Баланс!$A$16:$A$67,$A137,[1]Баланс!$B$16:$B$67,"население")</f>
        <v>0</v>
      </c>
      <c r="AK137" s="82">
        <f>SUMIFS([1]Баланс!AJ$16:AJ$67,[1]Баланс!$A$16:$A$67,$A137,[1]Баланс!$B$16:$B$67,"население")</f>
        <v>0</v>
      </c>
      <c r="AL137" s="82">
        <f>SUMIFS([1]Баланс!AK$16:AK$67,[1]Баланс!$A$16:$A$67,$A137,[1]Баланс!$B$16:$B$67,"население")</f>
        <v>0</v>
      </c>
      <c r="AM137" s="82">
        <f>SUMIFS([1]Баланс!AL$16:AL$67,[1]Баланс!$A$16:$A$67,$A137,[1]Баланс!$B$16:$B$67,"население")</f>
        <v>0</v>
      </c>
      <c r="AN137" s="40"/>
      <c r="AO137" s="40"/>
      <c r="AP137" s="40"/>
      <c r="AQ137" s="40"/>
      <c r="AR137" s="40"/>
      <c r="AS137" s="40"/>
      <c r="AT137" s="40"/>
      <c r="AU137" s="40"/>
      <c r="AV137" s="40"/>
      <c r="AW137" s="40"/>
      <c r="AX137" s="29"/>
      <c r="AY137" s="29"/>
      <c r="AZ137" s="29"/>
    </row>
    <row r="138" spans="1:52" ht="15" outlineLevel="1" x14ac:dyDescent="0.25">
      <c r="A138" s="21" t="str">
        <f t="shared" si="12"/>
        <v>1</v>
      </c>
      <c r="B138" s="1" t="s">
        <v>429</v>
      </c>
      <c r="D138" s="1" t="s">
        <v>430</v>
      </c>
      <c r="L138" s="87" t="s">
        <v>431</v>
      </c>
      <c r="M138" s="77" t="s">
        <v>432</v>
      </c>
      <c r="N138" s="88" t="s">
        <v>3</v>
      </c>
      <c r="O138" s="83">
        <v>46.36</v>
      </c>
      <c r="P138" s="83">
        <f>P137/2</f>
        <v>43.177</v>
      </c>
      <c r="Q138" s="83">
        <f>Q137/2</f>
        <v>43.177</v>
      </c>
      <c r="R138" s="36">
        <f>Q138-P138</f>
        <v>0</v>
      </c>
      <c r="S138" s="83">
        <v>46.36</v>
      </c>
      <c r="T138" s="83">
        <f t="shared" ref="T138:AM138" si="30">T137/2</f>
        <v>46.36</v>
      </c>
      <c r="U138" s="83">
        <f t="shared" si="30"/>
        <v>0</v>
      </c>
      <c r="V138" s="83">
        <f t="shared" si="30"/>
        <v>0</v>
      </c>
      <c r="W138" s="83">
        <f t="shared" si="30"/>
        <v>0</v>
      </c>
      <c r="X138" s="83">
        <f t="shared" si="30"/>
        <v>0</v>
      </c>
      <c r="Y138" s="83">
        <f t="shared" si="30"/>
        <v>0</v>
      </c>
      <c r="Z138" s="83">
        <f t="shared" si="30"/>
        <v>0</v>
      </c>
      <c r="AA138" s="83">
        <f t="shared" si="30"/>
        <v>0</v>
      </c>
      <c r="AB138" s="83">
        <f t="shared" si="30"/>
        <v>0</v>
      </c>
      <c r="AC138" s="83">
        <f t="shared" si="30"/>
        <v>0</v>
      </c>
      <c r="AD138" s="83">
        <f t="shared" si="30"/>
        <v>46.360225</v>
      </c>
      <c r="AE138" s="83">
        <f t="shared" si="30"/>
        <v>0</v>
      </c>
      <c r="AF138" s="83">
        <f t="shared" si="30"/>
        <v>0</v>
      </c>
      <c r="AG138" s="83">
        <f t="shared" si="30"/>
        <v>0</v>
      </c>
      <c r="AH138" s="83">
        <f t="shared" si="30"/>
        <v>0</v>
      </c>
      <c r="AI138" s="83">
        <f t="shared" si="30"/>
        <v>0</v>
      </c>
      <c r="AJ138" s="83">
        <f t="shared" si="30"/>
        <v>0</v>
      </c>
      <c r="AK138" s="83">
        <f t="shared" si="30"/>
        <v>0</v>
      </c>
      <c r="AL138" s="83">
        <f t="shared" si="30"/>
        <v>0</v>
      </c>
      <c r="AM138" s="83">
        <f t="shared" si="30"/>
        <v>0</v>
      </c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29"/>
      <c r="AY138" s="29"/>
      <c r="AZ138" s="29"/>
    </row>
    <row r="139" spans="1:52" ht="15" outlineLevel="1" x14ac:dyDescent="0.25">
      <c r="A139" s="21" t="str">
        <f t="shared" si="12"/>
        <v>1</v>
      </c>
      <c r="B139" s="1" t="s">
        <v>433</v>
      </c>
      <c r="D139" s="1" t="s">
        <v>434</v>
      </c>
      <c r="L139" s="87" t="s">
        <v>435</v>
      </c>
      <c r="M139" s="77" t="s">
        <v>436</v>
      </c>
      <c r="N139" s="88" t="s">
        <v>407</v>
      </c>
      <c r="O139" s="84">
        <v>80.41</v>
      </c>
      <c r="P139" s="84">
        <f>IF(P137=0,0,P131*IF(plat_nds="да",1.2,1) )</f>
        <v>103.76725618390526</v>
      </c>
      <c r="Q139" s="84">
        <f>IF(Q137=0,0,Q131*IF(plat_nds="да",1.2,1) )</f>
        <v>101.5715031874247</v>
      </c>
      <c r="R139" s="45">
        <f>Q139-P139</f>
        <v>-2.1957529964805644</v>
      </c>
      <c r="S139" s="84">
        <v>80.41</v>
      </c>
      <c r="T139" s="84">
        <f>S141</f>
        <v>83.687515411899994</v>
      </c>
      <c r="U139" s="84">
        <f t="shared" ref="U139:AM139" si="31">IF(U137=0,0,U131*IF(plat_nds="да",1.2,1) )</f>
        <v>0</v>
      </c>
      <c r="V139" s="84">
        <f t="shared" si="31"/>
        <v>0</v>
      </c>
      <c r="W139" s="84">
        <f t="shared" si="31"/>
        <v>0</v>
      </c>
      <c r="X139" s="84">
        <f t="shared" si="31"/>
        <v>0</v>
      </c>
      <c r="Y139" s="84">
        <f t="shared" si="31"/>
        <v>0</v>
      </c>
      <c r="Z139" s="84">
        <f t="shared" si="31"/>
        <v>0</v>
      </c>
      <c r="AA139" s="84">
        <f t="shared" si="31"/>
        <v>0</v>
      </c>
      <c r="AB139" s="84">
        <f t="shared" si="31"/>
        <v>0</v>
      </c>
      <c r="AC139" s="84">
        <f t="shared" si="31"/>
        <v>0</v>
      </c>
      <c r="AD139" s="84">
        <f>S141*1.2</f>
        <v>100.42501849428</v>
      </c>
      <c r="AE139" s="84">
        <f t="shared" si="31"/>
        <v>0</v>
      </c>
      <c r="AF139" s="84">
        <f t="shared" si="31"/>
        <v>0</v>
      </c>
      <c r="AG139" s="84">
        <f t="shared" si="31"/>
        <v>0</v>
      </c>
      <c r="AH139" s="84">
        <f t="shared" si="31"/>
        <v>0</v>
      </c>
      <c r="AI139" s="84">
        <f t="shared" si="31"/>
        <v>0</v>
      </c>
      <c r="AJ139" s="84">
        <f t="shared" si="31"/>
        <v>0</v>
      </c>
      <c r="AK139" s="84">
        <f t="shared" si="31"/>
        <v>0</v>
      </c>
      <c r="AL139" s="84">
        <f t="shared" si="31"/>
        <v>0</v>
      </c>
      <c r="AM139" s="84">
        <f t="shared" si="31"/>
        <v>0</v>
      </c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29"/>
      <c r="AY139" s="29"/>
      <c r="AZ139" s="29"/>
    </row>
    <row r="140" spans="1:52" ht="15" outlineLevel="1" x14ac:dyDescent="0.25">
      <c r="A140" s="21" t="str">
        <f t="shared" si="12"/>
        <v>1</v>
      </c>
      <c r="B140" s="1" t="s">
        <v>437</v>
      </c>
      <c r="D140" s="1" t="s">
        <v>438</v>
      </c>
      <c r="L140" s="87" t="s">
        <v>439</v>
      </c>
      <c r="M140" s="77" t="s">
        <v>440</v>
      </c>
      <c r="N140" s="88" t="s">
        <v>3</v>
      </c>
      <c r="O140" s="85">
        <f>O137-O138</f>
        <v>46.36</v>
      </c>
      <c r="P140" s="85">
        <f>P137-P138</f>
        <v>43.177</v>
      </c>
      <c r="Q140" s="85">
        <f>Q137-Q138</f>
        <v>43.177</v>
      </c>
      <c r="R140" s="36">
        <f>Q140-P140</f>
        <v>0</v>
      </c>
      <c r="S140" s="85">
        <f t="shared" ref="S140:AM140" si="32">S137-S138</f>
        <v>46.36</v>
      </c>
      <c r="T140" s="85">
        <f t="shared" si="32"/>
        <v>46.36</v>
      </c>
      <c r="U140" s="85">
        <f t="shared" si="32"/>
        <v>0</v>
      </c>
      <c r="V140" s="85">
        <f t="shared" si="32"/>
        <v>0</v>
      </c>
      <c r="W140" s="85">
        <f t="shared" si="32"/>
        <v>0</v>
      </c>
      <c r="X140" s="85">
        <f t="shared" si="32"/>
        <v>0</v>
      </c>
      <c r="Y140" s="85">
        <f t="shared" si="32"/>
        <v>0</v>
      </c>
      <c r="Z140" s="85">
        <f t="shared" si="32"/>
        <v>0</v>
      </c>
      <c r="AA140" s="85">
        <f t="shared" si="32"/>
        <v>0</v>
      </c>
      <c r="AB140" s="85">
        <f t="shared" si="32"/>
        <v>0</v>
      </c>
      <c r="AC140" s="85">
        <f t="shared" si="32"/>
        <v>0</v>
      </c>
      <c r="AD140" s="85">
        <f t="shared" si="32"/>
        <v>46.360225</v>
      </c>
      <c r="AE140" s="85">
        <f t="shared" si="32"/>
        <v>0</v>
      </c>
      <c r="AF140" s="85">
        <f t="shared" si="32"/>
        <v>0</v>
      </c>
      <c r="AG140" s="85">
        <f t="shared" si="32"/>
        <v>0</v>
      </c>
      <c r="AH140" s="85">
        <f t="shared" si="32"/>
        <v>0</v>
      </c>
      <c r="AI140" s="85">
        <f t="shared" si="32"/>
        <v>0</v>
      </c>
      <c r="AJ140" s="85">
        <f t="shared" si="32"/>
        <v>0</v>
      </c>
      <c r="AK140" s="85">
        <f t="shared" si="32"/>
        <v>0</v>
      </c>
      <c r="AL140" s="85">
        <f t="shared" si="32"/>
        <v>0</v>
      </c>
      <c r="AM140" s="85">
        <f t="shared" si="32"/>
        <v>0</v>
      </c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29"/>
      <c r="AY140" s="29"/>
      <c r="AZ140" s="29"/>
    </row>
    <row r="141" spans="1:52" ht="15" outlineLevel="1" x14ac:dyDescent="0.25">
      <c r="A141" s="21" t="str">
        <f t="shared" si="12"/>
        <v>1</v>
      </c>
      <c r="B141" s="1" t="s">
        <v>441</v>
      </c>
      <c r="D141" s="1" t="s">
        <v>442</v>
      </c>
      <c r="L141" s="87" t="s">
        <v>443</v>
      </c>
      <c r="M141" s="77" t="s">
        <v>444</v>
      </c>
      <c r="N141" s="88" t="s">
        <v>407</v>
      </c>
      <c r="O141" s="84">
        <v>80.409540444599997</v>
      </c>
      <c r="P141" s="84">
        <f>IF(P137=0,0,P133*IF(plat_nds="да",1.2,1) )</f>
        <v>103.76725618390526</v>
      </c>
      <c r="Q141" s="84">
        <f>IF(Q137=0,0,Q133*IF(plat_nds="да",1.2,1) )</f>
        <v>101.5715031874247</v>
      </c>
      <c r="R141" s="45">
        <f>Q141-P141</f>
        <v>-2.1957529964805644</v>
      </c>
      <c r="S141" s="84">
        <v>83.687515411899994</v>
      </c>
      <c r="T141" s="84">
        <f t="shared" ref="T141:AM141" si="33">IF(T137=0,0,T133*IF(plat_nds="да",1.2,1) )</f>
        <v>123.2645761255593</v>
      </c>
      <c r="U141" s="84">
        <f t="shared" si="33"/>
        <v>0</v>
      </c>
      <c r="V141" s="84">
        <f t="shared" si="33"/>
        <v>0</v>
      </c>
      <c r="W141" s="84">
        <f t="shared" si="33"/>
        <v>0</v>
      </c>
      <c r="X141" s="84">
        <f t="shared" si="33"/>
        <v>0</v>
      </c>
      <c r="Y141" s="84">
        <f t="shared" si="33"/>
        <v>0</v>
      </c>
      <c r="Z141" s="84">
        <f t="shared" si="33"/>
        <v>0</v>
      </c>
      <c r="AA141" s="84">
        <f t="shared" si="33"/>
        <v>0</v>
      </c>
      <c r="AB141" s="84">
        <f t="shared" si="33"/>
        <v>0</v>
      </c>
      <c r="AC141" s="84">
        <f t="shared" si="33"/>
        <v>0</v>
      </c>
      <c r="AD141" s="84">
        <f>AD133*1.2</f>
        <v>115.61220036525184</v>
      </c>
      <c r="AE141" s="84">
        <f t="shared" si="33"/>
        <v>0</v>
      </c>
      <c r="AF141" s="84">
        <f t="shared" si="33"/>
        <v>0</v>
      </c>
      <c r="AG141" s="84">
        <f t="shared" si="33"/>
        <v>0</v>
      </c>
      <c r="AH141" s="84">
        <f t="shared" si="33"/>
        <v>0</v>
      </c>
      <c r="AI141" s="84">
        <f t="shared" si="33"/>
        <v>0</v>
      </c>
      <c r="AJ141" s="84">
        <f t="shared" si="33"/>
        <v>0</v>
      </c>
      <c r="AK141" s="84">
        <f t="shared" si="33"/>
        <v>0</v>
      </c>
      <c r="AL141" s="84">
        <f t="shared" si="33"/>
        <v>0</v>
      </c>
      <c r="AM141" s="84">
        <f t="shared" si="33"/>
        <v>0</v>
      </c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29"/>
      <c r="AY141" s="29"/>
      <c r="AZ141" s="29"/>
    </row>
    <row r="143" spans="1:52" ht="15" customHeight="1" x14ac:dyDescent="0.25">
      <c r="L143" s="97" t="s">
        <v>445</v>
      </c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  <c r="AH143" s="97"/>
      <c r="AI143" s="97"/>
      <c r="AJ143" s="97"/>
      <c r="AK143" s="97"/>
      <c r="AL143" s="97"/>
      <c r="AM143" s="97"/>
      <c r="AN143" s="97"/>
      <c r="AO143" s="97"/>
      <c r="AP143" s="97"/>
      <c r="AQ143" s="97"/>
      <c r="AR143" s="97"/>
      <c r="AS143" s="97"/>
      <c r="AT143" s="97"/>
      <c r="AU143" s="97"/>
      <c r="AV143" s="97"/>
      <c r="AW143" s="97"/>
      <c r="AX143" s="97"/>
      <c r="AY143" s="97"/>
      <c r="AZ143" s="97"/>
    </row>
    <row r="144" spans="1:52" ht="15" customHeight="1" x14ac:dyDescent="0.25">
      <c r="K144" s="89"/>
      <c r="L144" s="92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  <c r="AJ144" s="93"/>
      <c r="AK144" s="93"/>
      <c r="AL144" s="93"/>
      <c r="AM144" s="93"/>
      <c r="AN144" s="93"/>
      <c r="AO144" s="93"/>
      <c r="AP144" s="93"/>
      <c r="AQ144" s="93"/>
      <c r="AR144" s="93"/>
      <c r="AS144" s="93"/>
      <c r="AT144" s="93"/>
      <c r="AU144" s="93"/>
      <c r="AV144" s="93"/>
      <c r="AW144" s="93"/>
      <c r="AX144" s="93"/>
      <c r="AY144" s="93"/>
      <c r="AZ144" s="93"/>
    </row>
    <row r="145" spans="12:52" ht="15" customHeight="1" x14ac:dyDescent="0.25">
      <c r="L145" s="94" t="s">
        <v>446</v>
      </c>
      <c r="M145" s="95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1"/>
    </row>
  </sheetData>
  <mergeCells count="10">
    <mergeCell ref="L144:AZ144"/>
    <mergeCell ref="L145:M145"/>
    <mergeCell ref="AX14:AX15"/>
    <mergeCell ref="AY14:AY15"/>
    <mergeCell ref="AZ14:AZ15"/>
    <mergeCell ref="AN15:AW15"/>
    <mergeCell ref="L143:AZ143"/>
    <mergeCell ref="L14:L15"/>
    <mergeCell ref="M14:M15"/>
    <mergeCell ref="N14:N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AD64:AE64 O138:Q141 O27:Q27 O29:Q35 O21:Q23 S21:AM23 O37:Q40 O25:Q25 T25:AM27 O54:Q63 O52:Q52 S130:AM135 O44:Q50 S52 O18:Q18 S18 S108:AM123 O127:Q128 S127:AM128 O130:Q135 T64 S29:AM35 S27 S37:S40 S25 S54:S63" xr:uid="{9124A4ED-5260-4F32-A5B8-E75081BD4420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3E3F8593-91A1-4F4E-B7AD-D4FC0618B166}">
      <formula1>900</formula1>
    </dataValidation>
  </dataValidations>
  <pageMargins left="0.7" right="0.7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2024-10-29T11:52:57Z</dcterms:modified>
</cp:coreProperties>
</file>