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O:\!!!!Правление (проекты решений)\2024\10. Октябрь\30.10.2024\Проекты решений на 30.10.2024\20. Коммунальные системы 25-29 ВС ВО Среднетоймен\"/>
    </mc:Choice>
  </mc:AlternateContent>
  <xr:revisionPtr revIDLastSave="0" documentId="13_ncr:1_{4F561AF4-EAD8-4F94-8862-7A6C6C2A986D}" xr6:coauthVersionLast="37" xr6:coauthVersionMax="47" xr10:uidLastSave="{00000000-0000-0000-0000-000000000000}"/>
  <bookViews>
    <workbookView xWindow="0" yWindow="0" windowWidth="28800" windowHeight="11625" xr2:uid="{DF6B5735-606C-43FE-93BA-24E4F810D182}"/>
  </bookViews>
  <sheets>
    <sheet name="Калькуляция" sheetId="13" r:id="rId1"/>
    <sheet name="Расчет тарифа мет. инд. 5 лет" sheetId="1" state="hidden" r:id="rId2"/>
    <sheet name="ФАКТ 21--22" sheetId="10" state="hidden" r:id="rId3"/>
    <sheet name="РЕМОНТ" sheetId="9" state="hidden" r:id="rId4"/>
    <sheet name="ПП(к ЭЗ)" sheetId="4" state="hidden" r:id="rId5"/>
    <sheet name="ПП к РЕШ" sheetId="11" state="hidden" r:id="rId6"/>
    <sheet name="КиН из заключения" sheetId="5" state="hidden" r:id="rId7"/>
    <sheet name="Расчет КиН (полный цикл)" sheetId="2" state="hidden" r:id="rId8"/>
    <sheet name="Тарифы и ДПР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ed_izm" localSheetId="0">#REF!</definedName>
    <definedName name="ed_izm" localSheetId="5">#REF!</definedName>
    <definedName name="ed_izm" localSheetId="7">#REF!</definedName>
    <definedName name="ed_izm">#REF!</definedName>
    <definedName name="FIRST_PERIOD_IN_LT" localSheetId="0">[1]Титульный!$AD$63</definedName>
    <definedName name="FIRST_PERIOD_IN_LT">[2]Титульный!$AD$63</definedName>
    <definedName name="first_year">'[3]Общие сведения'!$H$9</definedName>
    <definedName name="gheger" localSheetId="0">#REF!</definedName>
    <definedName name="gheger" localSheetId="5">#REF!</definedName>
    <definedName name="gheger">#REF!</definedName>
    <definedName name="god" localSheetId="5">#REF!</definedName>
    <definedName name="god" localSheetId="7">#REF!</definedName>
    <definedName name="god">#REF!</definedName>
    <definedName name="gregreg" localSheetId="5">#REF!</definedName>
    <definedName name="gregreg">#REF!</definedName>
    <definedName name="hasTranspVO">'[4]Общие сведения'!$J$138</definedName>
    <definedName name="hasTranspVS">'[4]Общие сведения'!$I$138</definedName>
    <definedName name="hasVO">'[4]Общие сведения'!$H$138</definedName>
    <definedName name="hasVS">'[4]Общие сведения'!$G$138</definedName>
    <definedName name="isFIRST_PERIOD" localSheetId="0">[1]Титульный!$AD$61</definedName>
    <definedName name="isFIRST_PERIOD">[2]Титульный!$AD$61</definedName>
    <definedName name="last_year_vis">'[5]Общие сведения'!$J$9</definedName>
    <definedName name="logic" localSheetId="0">#REF!</definedName>
    <definedName name="logic" localSheetId="5">#REF!</definedName>
    <definedName name="logic" localSheetId="7">#REF!</definedName>
    <definedName name="logic">#REF!</definedName>
    <definedName name="mo" localSheetId="7">[6]Титульный!$F$22</definedName>
    <definedName name="mo">[7]Титульный!$F$23</definedName>
    <definedName name="mr" localSheetId="7">[6]Титульный!$F$20</definedName>
    <definedName name="mr">[7]Титульный!$F$21</definedName>
    <definedName name="MR_LIST" localSheetId="7">[6]REESTR_MO!$D$2:$D$46</definedName>
    <definedName name="MR_LIST">[7]REESTR_MO!$D$2:$D$46</definedName>
    <definedName name="mreg" localSheetId="0">#REF!</definedName>
    <definedName name="mreg" localSheetId="5">#REF!</definedName>
    <definedName name="mreg" localSheetId="7">[6]Титульный!#REF!</definedName>
    <definedName name="mreg">#REF!</definedName>
    <definedName name="org" localSheetId="0">[1]Титульный!$AD$19</definedName>
    <definedName name="org">[2]Титульный!$AD$19</definedName>
    <definedName name="osn_expl_list">[3]TEHSHEET!$X$2:$X$14</definedName>
    <definedName name="p1_rst_1">[8]Лист2!$A$1</definedName>
    <definedName name="PERIOD_LENGTH">'[3]Общие сведения'!$H$10</definedName>
    <definedName name="plat_nds">'[9]Общие сведения'!$H$41</definedName>
    <definedName name="region_name" localSheetId="0">[1]Титульный!$AD$11</definedName>
    <definedName name="region_name">[2]Титульный!$AD$11</definedName>
    <definedName name="REGULATION_METHODS" localSheetId="0">[1]Титульный!$AD$62</definedName>
    <definedName name="REGULATION_METHODS">[2]Титульный!$AD$62</definedName>
    <definedName name="REPORT_OWNER" localSheetId="0">[1]Титульный!$AD$13</definedName>
    <definedName name="REPORT_OWNER">[2]Титульный!$AD$13</definedName>
    <definedName name="SCOPE_16_PRT" localSheetId="0">P1_SCOPE_16_PRT,P2_SCOPE_16_PRT</definedName>
    <definedName name="SCOPE_16_PRT" localSheetId="5">P1_SCOPE_16_PRT,P2_SCOPE_16_PRT</definedName>
    <definedName name="SCOPE_16_PRT" localSheetId="7">P1_SCOPE_16_PRT,P2_SCOPE_16_PRT</definedName>
    <definedName name="SCOPE_16_PRT" localSheetId="1">P1_SCOPE_16_PRT,P2_SCOPE_16_PRT</definedName>
    <definedName name="SCOPE_16_PRT">P1_SCOPE_16_PRT,P2_SCOPE_16_PRT</definedName>
    <definedName name="SCOPE_PER_PRT" localSheetId="0">P5_SCOPE_PER_PRT,P6_SCOPE_PER_PRT,P7_SCOPE_PER_PRT,P8_SCOPE_PER_PRT</definedName>
    <definedName name="SCOPE_PER_PRT" localSheetId="5">P5_SCOPE_PER_PRT,P6_SCOPE_PER_PRT,P7_SCOPE_PER_PRT,P8_SCOPE_PER_PRT</definedName>
    <definedName name="SCOPE_PER_PRT" localSheetId="7">P5_SCOPE_PER_PRT,P6_SCOPE_PER_PRT,P7_SCOPE_PER_PRT,P8_SCOPE_PER_PRT</definedName>
    <definedName name="SCOPE_PER_PRT" localSheetId="1">P5_SCOPE_PER_PRT,P6_SCOPE_PER_PRT,P7_SCOPE_PER_PRT,P8_SCOPE_PER_PRT</definedName>
    <definedName name="SCOPE_PER_PRT">P5_SCOPE_PER_PRT,P6_SCOPE_PER_PRT,P7_SCOPE_PER_PRT,P8_SCOPE_PER_PRT</definedName>
    <definedName name="SCOPE_SV_PRT" localSheetId="0">P1_SCOPE_SV_PRT,P2_SCOPE_SV_PRT,P3_SCOPE_SV_PRT</definedName>
    <definedName name="SCOPE_SV_PRT" localSheetId="5">P1_SCOPE_SV_PRT,P2_SCOPE_SV_PRT,P3_SCOPE_SV_PRT</definedName>
    <definedName name="SCOPE_SV_PRT" localSheetId="7">P1_SCOPE_SV_PRT,P2_SCOPE_SV_PRT,P3_SCOPE_SV_PRT</definedName>
    <definedName name="SCOPE_SV_PRT" localSheetId="1">P1_SCOPE_SV_PRT,P2_SCOPE_SV_PRT,P3_SCOPE_SV_PRT</definedName>
    <definedName name="SCOPE_SV_PRT">P1_SCOPE_SV_PRT,P2_SCOPE_SV_PRT,P3_SCOPE_SV_PRT</definedName>
    <definedName name="SETTING_COUNT_YEAR_TITLE" localSheetId="0">'[1]Общие настройки'!$G$107</definedName>
    <definedName name="SETTING_COUNT_YEAR_TITLE">'[2]Общие настройки'!$G$107</definedName>
    <definedName name="SPHERE_MULTI" localSheetId="0">[1]Тарифы!$AB$87</definedName>
    <definedName name="SPHERE_MULTI">[2]Тарифы!$AB$87</definedName>
    <definedName name="spr_np" localSheetId="0">#REF!</definedName>
    <definedName name="spr_np" localSheetId="5">#REF!</definedName>
    <definedName name="spr_np" localSheetId="7">#REF!</definedName>
    <definedName name="spr_np">#REF!</definedName>
    <definedName name="support_docs_list">[3]TEHSHEET!$X$17:$X$36</definedName>
    <definedName name="T2_DiapProt" localSheetId="0">P1_T2_DiapProt,P2_T2_DiapProt</definedName>
    <definedName name="T2_DiapProt" localSheetId="5">P1_T2_DiapProt,P2_T2_DiapProt</definedName>
    <definedName name="T2_DiapProt" localSheetId="7">P1_T2_DiapProt,P2_T2_DiapProt</definedName>
    <definedName name="T2_DiapProt" localSheetId="1">P1_T2_DiapProt,P2_T2_DiapProt</definedName>
    <definedName name="T2_DiapProt">P1_T2_DiapProt,P2_T2_DiapProt</definedName>
    <definedName name="T6_Protect" localSheetId="0">P1_T6_Protect,P2_T6_Protect</definedName>
    <definedName name="T6_Protect" localSheetId="5">P1_T6_Protect,P2_T6_Protect</definedName>
    <definedName name="T6_Protect" localSheetId="7">P1_T6_Protect,P2_T6_Protect</definedName>
    <definedName name="T6_Protect" localSheetId="1">P1_T6_Protect,P2_T6_Protect</definedName>
    <definedName name="T6_Protect">P1_T6_Protect,P2_T6_Protect</definedName>
    <definedName name="tariftype" localSheetId="7">[6]Титульный!$F$4</definedName>
    <definedName name="tariftype">[7]Титульный!$F$5</definedName>
    <definedName name="tpl_title">'[5]Общие сведения'!$O$17</definedName>
    <definedName name="TYPE" localSheetId="0">[1]Титульный!$AD$71</definedName>
    <definedName name="TYPE">[2]Титульный!$AD$71</definedName>
    <definedName name="type_sh" localSheetId="0">#REF!</definedName>
    <definedName name="type_sh" localSheetId="5">#REF!</definedName>
    <definedName name="type_sh" localSheetId="7">#REF!</definedName>
    <definedName name="type_sh">#REF!</definedName>
    <definedName name="version" localSheetId="7">#REF!</definedName>
    <definedName name="version">[7]Инструкция!$G$3</definedName>
    <definedName name="version_PP" localSheetId="0">[1]TECHSHEET!$DG$2:$DG$3</definedName>
    <definedName name="version_PP">[2]TECHSHEET!$DG$2:$DG$3</definedName>
    <definedName name="vid_top" localSheetId="0">#REF!</definedName>
    <definedName name="vid_top" localSheetId="5">#REF!</definedName>
    <definedName name="vid_top" localSheetId="7">#REF!</definedName>
    <definedName name="vid_top">#REF!</definedName>
    <definedName name="VOLTAGE_LEVEL_list">[9]TEHSHEET!$Y$2:$Y$7</definedName>
    <definedName name="year" localSheetId="7">[6]Титульный!$F$9</definedName>
    <definedName name="year">[7]Титульный!$F$10</definedName>
    <definedName name="year_list" localSheetId="7">[6]TEHSHEET!$I$1:$I$15</definedName>
    <definedName name="year_list">[7]TEHSHEET!$I$1:$I$15</definedName>
    <definedName name="апиаи">'[9]Общие сведения'!$J$9</definedName>
    <definedName name="вмвм">'[9]Общие сведения'!$J$9</definedName>
    <definedName name="врватв">'[9]Общие сведения'!$O$17</definedName>
    <definedName name="вриар">'[3]Общие сведения'!$O$17</definedName>
    <definedName name="глнл">'[9]Общие сведения'!$H$8</definedName>
    <definedName name="епаапп">'[9]Общие сведения'!$J$9</definedName>
    <definedName name="епоот">'[9]Общие сведения'!$H$8</definedName>
    <definedName name="_xlnm.Print_Titles" localSheetId="1">'Расчет тарифа мет. инд. 5 лет'!$12:$14</definedName>
    <definedName name="ираис">'[9]Общие сведения'!$O$17</definedName>
    <definedName name="керет">'[9]Общие сведения'!$J$9</definedName>
    <definedName name="кунркуркур">'[3]Общие сведения'!$O$17</definedName>
    <definedName name="л." localSheetId="0">#REF!</definedName>
    <definedName name="л." localSheetId="5">#REF!</definedName>
    <definedName name="л." localSheetId="7">#REF!</definedName>
    <definedName name="л.">#REF!</definedName>
    <definedName name="лрлрл">'[9]Общие сведения'!$J$9</definedName>
    <definedName name="мпывмы">'[9]Общие сведения'!$H$8</definedName>
    <definedName name="неоь">'[9]Общие сведения'!$J$9</definedName>
    <definedName name="ннкуго" localSheetId="0">P1_T2_DiapProt,P2_T2_DiapProt</definedName>
    <definedName name="ннкуго" localSheetId="5">P1_T2_DiapProt,P2_T2_DiapProt</definedName>
    <definedName name="ннкуго" localSheetId="7">P1_T2_DiapProt,P2_T2_DiapProt</definedName>
    <definedName name="ннкуго" localSheetId="1">P1_T2_DiapProt,P2_T2_DiapProt</definedName>
    <definedName name="ннкуго">P1_T2_DiapProt,P2_T2_DiapProt</definedName>
    <definedName name="ншлнлр">'[9]Общие сведения'!$J$9</definedName>
    <definedName name="_xlnm.Print_Area" localSheetId="5">'ПП к РЕШ'!$E$1:$M$94</definedName>
    <definedName name="_xlnm.Print_Area" localSheetId="4">'ПП(к ЭЗ)'!$E$1:$M$94</definedName>
    <definedName name="_xlnm.Print_Area" localSheetId="1">'Расчет тарифа мет. инд. 5 лет'!$A$9:$AQ$206</definedName>
    <definedName name="оепаоо">'[9]Общие сведения'!$H$8</definedName>
    <definedName name="оноо">'[9]Общие сведения'!$J$9</definedName>
    <definedName name="опо">'[9]Общие сведения'!$H$8</definedName>
    <definedName name="П12556" localSheetId="0">P6_T2.1?Protection</definedName>
    <definedName name="П12556" localSheetId="5">P6_T2.1?Protection</definedName>
    <definedName name="П12556" localSheetId="7">P6_T2.1?Protection</definedName>
    <definedName name="П12556" localSheetId="1">P6_T2.1?Protection</definedName>
    <definedName name="П12556">P6_T2.1?Protection</definedName>
    <definedName name="паапш" localSheetId="0">P1_T25?Data,P2_T25?Data</definedName>
    <definedName name="паапш" localSheetId="5">P1_T25?Data,P2_T25?Data</definedName>
    <definedName name="паапш" localSheetId="7">P1_T25?Data,P2_T25?Data</definedName>
    <definedName name="паапш" localSheetId="1">P1_T25?Data,P2_T25?Data</definedName>
    <definedName name="паапш">P1_T25?Data,P2_T25?Data</definedName>
    <definedName name="Перечень" localSheetId="0">'[10]3.6.1.'!#REF!</definedName>
    <definedName name="Перечень" localSheetId="5">'[10]3.6.1.'!#REF!</definedName>
    <definedName name="Перечень" localSheetId="7">'[10]3.6.1.'!#REF!</definedName>
    <definedName name="Перечень" localSheetId="1">'[11]3.6.1.'!#REF!</definedName>
    <definedName name="Перечень">'[10]3.6.1.'!#REF!</definedName>
    <definedName name="пиаипаи">'[9]Общие сведения'!$O$17</definedName>
    <definedName name="пррпрт">'[9]Общие сведения'!$O$17</definedName>
    <definedName name="птпрпрнр">'[9]Общие сведения'!$O$17</definedName>
    <definedName name="рвартврт">'[9]Общие сведения'!$J$9</definedName>
    <definedName name="рвравр">'[9]Общие сведения'!$J$9</definedName>
    <definedName name="ревуив">'[9]Общие сведения'!$H$8</definedName>
    <definedName name="риваа">'[9]Общие сведения'!$H$8</definedName>
    <definedName name="ртапоть">'[9]Общие сведения'!$O$17</definedName>
    <definedName name="ртррекр">'[9]Общие сведения'!$H$8</definedName>
    <definedName name="сатичич">'[9]Общие сведения'!$H$8</definedName>
    <definedName name="Т2" localSheetId="0">P1_T2_DiapProt,P2_T2_DiapProt</definedName>
    <definedName name="Т2" localSheetId="5">P1_T2_DiapProt,P2_T2_DiapProt</definedName>
    <definedName name="Т2" localSheetId="7">P1_T2_DiapProt,P2_T2_DiapProt</definedName>
    <definedName name="Т2" localSheetId="1">P1_T2_DiapProt,P2_T2_DiapProt</definedName>
    <definedName name="Т2">P1_T2_DiapProt,P2_T2_DiapProt</definedName>
    <definedName name="траптап">'[9]Общие сведения'!$H$8</definedName>
    <definedName name="укаука">'[4]Общие сведения'!$O$17</definedName>
    <definedName name="умуам">'[4]Общие сведения'!$H$8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262" i="13" l="1"/>
  <c r="AQ262" i="13"/>
  <c r="AP262" i="13"/>
  <c r="AO262" i="13"/>
  <c r="AN262" i="13"/>
  <c r="AM260" i="13"/>
  <c r="AL260" i="13"/>
  <c r="AK260" i="13"/>
  <c r="AJ260" i="13"/>
  <c r="AI260" i="13"/>
  <c r="AR252" i="13"/>
  <c r="AQ252" i="13"/>
  <c r="AP252" i="13"/>
  <c r="AO252" i="13"/>
  <c r="AN252" i="13"/>
  <c r="AR251" i="13"/>
  <c r="AQ251" i="13"/>
  <c r="AP251" i="13"/>
  <c r="AO251" i="13"/>
  <c r="AN251" i="13"/>
  <c r="AS244" i="13"/>
  <c r="AR244" i="13"/>
  <c r="AQ244" i="13"/>
  <c r="AP244" i="13"/>
  <c r="AO244" i="13"/>
  <c r="AN244" i="13"/>
  <c r="AM244" i="13"/>
  <c r="AL244" i="13"/>
  <c r="AW244" i="13" s="1"/>
  <c r="AK244" i="13"/>
  <c r="AV244" i="13" s="1"/>
  <c r="AJ244" i="13"/>
  <c r="AU244" i="13" s="1"/>
  <c r="AI244" i="13"/>
  <c r="AT244" i="13" s="1"/>
  <c r="AW236" i="13"/>
  <c r="AV236" i="13"/>
  <c r="AU236" i="13"/>
  <c r="AT236" i="13"/>
  <c r="AS236" i="13"/>
  <c r="AR236" i="13"/>
  <c r="AQ236" i="13"/>
  <c r="AP236" i="13"/>
  <c r="AO236" i="13"/>
  <c r="AN236" i="13"/>
  <c r="AW235" i="13"/>
  <c r="AV235" i="13"/>
  <c r="AU235" i="13"/>
  <c r="AT235" i="13"/>
  <c r="AS235" i="13"/>
  <c r="AR235" i="13"/>
  <c r="AQ235" i="13"/>
  <c r="AP235" i="13"/>
  <c r="AO235" i="13"/>
  <c r="AN235" i="13"/>
  <c r="AW234" i="13"/>
  <c r="AV234" i="13"/>
  <c r="AU234" i="13"/>
  <c r="AT234" i="13"/>
  <c r="AS234" i="13"/>
  <c r="AR234" i="13"/>
  <c r="AQ234" i="13"/>
  <c r="AP234" i="13"/>
  <c r="AO234" i="13"/>
  <c r="AN234" i="13"/>
  <c r="AS233" i="13"/>
  <c r="AR233" i="13"/>
  <c r="AQ233" i="13"/>
  <c r="AP233" i="13"/>
  <c r="AO233" i="13"/>
  <c r="AN233" i="13"/>
  <c r="AS232" i="13"/>
  <c r="AR232" i="13"/>
  <c r="AQ232" i="13"/>
  <c r="AP232" i="13"/>
  <c r="AO232" i="13"/>
  <c r="AN232" i="13"/>
  <c r="AS231" i="13"/>
  <c r="AR231" i="13"/>
  <c r="AQ231" i="13"/>
  <c r="AP231" i="13"/>
  <c r="AO231" i="13"/>
  <c r="AN231" i="13"/>
  <c r="AS230" i="13"/>
  <c r="AR230" i="13"/>
  <c r="AQ230" i="13"/>
  <c r="AP230" i="13"/>
  <c r="AO230" i="13"/>
  <c r="AN230" i="13"/>
  <c r="AS229" i="13"/>
  <c r="AR229" i="13"/>
  <c r="AQ229" i="13"/>
  <c r="AP229" i="13"/>
  <c r="AO229" i="13"/>
  <c r="AN229" i="13"/>
  <c r="AS228" i="13"/>
  <c r="AR228" i="13"/>
  <c r="AQ228" i="13"/>
  <c r="AP228" i="13"/>
  <c r="AO228" i="13"/>
  <c r="AN228" i="13"/>
  <c r="AS227" i="13"/>
  <c r="AR227" i="13"/>
  <c r="AQ227" i="13"/>
  <c r="AP227" i="13"/>
  <c r="AO227" i="13"/>
  <c r="AN227" i="13"/>
  <c r="AW226" i="13"/>
  <c r="AV226" i="13"/>
  <c r="AU226" i="13"/>
  <c r="AT226" i="13"/>
  <c r="AS226" i="13"/>
  <c r="AR226" i="13"/>
  <c r="AQ226" i="13"/>
  <c r="AP226" i="13"/>
  <c r="AO226" i="13"/>
  <c r="AN226" i="13"/>
  <c r="AW225" i="13"/>
  <c r="AV225" i="13"/>
  <c r="AU225" i="13"/>
  <c r="AT225" i="13"/>
  <c r="AS225" i="13"/>
  <c r="AR225" i="13"/>
  <c r="AQ225" i="13"/>
  <c r="AP225" i="13"/>
  <c r="AO225" i="13"/>
  <c r="AN225" i="13"/>
  <c r="AW224" i="13"/>
  <c r="AV224" i="13"/>
  <c r="AU224" i="13"/>
  <c r="AT224" i="13"/>
  <c r="AS224" i="13"/>
  <c r="AR224" i="13"/>
  <c r="AQ224" i="13"/>
  <c r="AP224" i="13"/>
  <c r="AO224" i="13"/>
  <c r="AN224" i="13"/>
  <c r="AS223" i="13"/>
  <c r="AR223" i="13"/>
  <c r="AQ223" i="13"/>
  <c r="AP223" i="13"/>
  <c r="AO223" i="13"/>
  <c r="AN223" i="13"/>
  <c r="AM223" i="13"/>
  <c r="AL223" i="13"/>
  <c r="AW223" i="13" s="1"/>
  <c r="AK223" i="13"/>
  <c r="AV223" i="13" s="1"/>
  <c r="AJ223" i="13"/>
  <c r="AU223" i="13" s="1"/>
  <c r="AI223" i="13"/>
  <c r="AT223" i="13" s="1"/>
  <c r="AW222" i="13"/>
  <c r="AV222" i="13"/>
  <c r="AU222" i="13"/>
  <c r="AT222" i="13"/>
  <c r="AS222" i="13"/>
  <c r="AR222" i="13"/>
  <c r="AQ222" i="13"/>
  <c r="AP222" i="13"/>
  <c r="AO222" i="13"/>
  <c r="AN222" i="13"/>
  <c r="AW221" i="13"/>
  <c r="AV221" i="13"/>
  <c r="AU221" i="13"/>
  <c r="AT221" i="13"/>
  <c r="AS221" i="13"/>
  <c r="AR221" i="13"/>
  <c r="AQ221" i="13"/>
  <c r="AP221" i="13"/>
  <c r="AO221" i="13"/>
  <c r="AN221" i="13"/>
  <c r="AS220" i="13"/>
  <c r="AR220" i="13"/>
  <c r="AQ220" i="13"/>
  <c r="AP220" i="13"/>
  <c r="AO220" i="13"/>
  <c r="AN220" i="13"/>
  <c r="AW219" i="13"/>
  <c r="AV219" i="13"/>
  <c r="AU219" i="13"/>
  <c r="AT219" i="13"/>
  <c r="AS219" i="13"/>
  <c r="AR219" i="13"/>
  <c r="AQ219" i="13"/>
  <c r="AP219" i="13"/>
  <c r="AO219" i="13"/>
  <c r="AN219" i="13"/>
  <c r="AS218" i="13"/>
  <c r="AR218" i="13"/>
  <c r="AQ218" i="13"/>
  <c r="AP218" i="13"/>
  <c r="AO218" i="13"/>
  <c r="AN218" i="13"/>
  <c r="AM218" i="13"/>
  <c r="AL218" i="13"/>
  <c r="AW218" i="13" s="1"/>
  <c r="AK218" i="13"/>
  <c r="AV218" i="13" s="1"/>
  <c r="AJ218" i="13"/>
  <c r="AU218" i="13" s="1"/>
  <c r="AI218" i="13"/>
  <c r="AT218" i="13" s="1"/>
  <c r="AS217" i="13"/>
  <c r="AR217" i="13"/>
  <c r="AQ217" i="13"/>
  <c r="AP217" i="13"/>
  <c r="AO217" i="13"/>
  <c r="AN217" i="13"/>
  <c r="AW216" i="13"/>
  <c r="AV216" i="13"/>
  <c r="AU216" i="13"/>
  <c r="AT216" i="13"/>
  <c r="AS216" i="13"/>
  <c r="AR216" i="13"/>
  <c r="AQ216" i="13"/>
  <c r="AP216" i="13"/>
  <c r="AO216" i="13"/>
  <c r="AN216" i="13"/>
  <c r="AS215" i="13"/>
  <c r="AR215" i="13"/>
  <c r="AQ215" i="13"/>
  <c r="AP215" i="13"/>
  <c r="AO215" i="13"/>
  <c r="AN215" i="13"/>
  <c r="AR214" i="13"/>
  <c r="AQ214" i="13"/>
  <c r="AP214" i="13"/>
  <c r="AO214" i="13"/>
  <c r="AN214" i="13"/>
  <c r="AS213" i="13"/>
  <c r="AR213" i="13"/>
  <c r="AQ213" i="13"/>
  <c r="AP213" i="13"/>
  <c r="AO213" i="13"/>
  <c r="AN213" i="13"/>
  <c r="AS212" i="13"/>
  <c r="AR212" i="13"/>
  <c r="AQ212" i="13"/>
  <c r="AP212" i="13"/>
  <c r="AO212" i="13"/>
  <c r="AN212" i="13"/>
  <c r="AS211" i="13"/>
  <c r="AR211" i="13"/>
  <c r="AQ211" i="13"/>
  <c r="AP211" i="13"/>
  <c r="AO211" i="13"/>
  <c r="AN211" i="13"/>
  <c r="AS210" i="13"/>
  <c r="AR210" i="13"/>
  <c r="AQ210" i="13"/>
  <c r="AP210" i="13"/>
  <c r="AO210" i="13"/>
  <c r="AN210" i="13"/>
  <c r="AS209" i="13"/>
  <c r="AR209" i="13"/>
  <c r="AQ209" i="13"/>
  <c r="AP209" i="13"/>
  <c r="AO209" i="13"/>
  <c r="AN209" i="13"/>
  <c r="AS208" i="13"/>
  <c r="AR208" i="13"/>
  <c r="AQ208" i="13"/>
  <c r="AP208" i="13"/>
  <c r="AO208" i="13"/>
  <c r="AN208" i="13"/>
  <c r="AS207" i="13"/>
  <c r="AR207" i="13"/>
  <c r="AQ207" i="13"/>
  <c r="AP207" i="13"/>
  <c r="AO207" i="13"/>
  <c r="AN207" i="13"/>
  <c r="AR206" i="13"/>
  <c r="AQ206" i="13"/>
  <c r="AP206" i="13"/>
  <c r="AO206" i="13"/>
  <c r="AN206" i="13"/>
  <c r="AS205" i="13"/>
  <c r="AR205" i="13"/>
  <c r="AQ205" i="13"/>
  <c r="AP205" i="13"/>
  <c r="AO205" i="13"/>
  <c r="AN205" i="13"/>
  <c r="AS204" i="13"/>
  <c r="AR204" i="13"/>
  <c r="AQ204" i="13"/>
  <c r="AP204" i="13"/>
  <c r="AO204" i="13"/>
  <c r="AN204" i="13"/>
  <c r="AS203" i="13"/>
  <c r="AR203" i="13"/>
  <c r="AQ203" i="13"/>
  <c r="AP203" i="13"/>
  <c r="AO203" i="13"/>
  <c r="AN203" i="13"/>
  <c r="AS202" i="13"/>
  <c r="AR202" i="13"/>
  <c r="AQ202" i="13"/>
  <c r="AP202" i="13"/>
  <c r="AO202" i="13"/>
  <c r="AN202" i="13"/>
  <c r="AW201" i="13"/>
  <c r="AV201" i="13"/>
  <c r="AU201" i="13"/>
  <c r="AT201" i="13"/>
  <c r="AS201" i="13"/>
  <c r="AR201" i="13"/>
  <c r="AQ201" i="13"/>
  <c r="AP201" i="13"/>
  <c r="AO201" i="13"/>
  <c r="AN201" i="13"/>
  <c r="AW200" i="13"/>
  <c r="AV200" i="13"/>
  <c r="AU200" i="13"/>
  <c r="AT200" i="13"/>
  <c r="AS200" i="13"/>
  <c r="AR200" i="13"/>
  <c r="AQ200" i="13"/>
  <c r="AP200" i="13"/>
  <c r="AO200" i="13"/>
  <c r="AN200" i="13"/>
  <c r="AS199" i="13"/>
  <c r="AR199" i="13"/>
  <c r="AQ199" i="13"/>
  <c r="AP199" i="13"/>
  <c r="AO199" i="13"/>
  <c r="AN199" i="13"/>
  <c r="AS198" i="13"/>
  <c r="AR198" i="13"/>
  <c r="AQ198" i="13"/>
  <c r="AP198" i="13"/>
  <c r="AO198" i="13"/>
  <c r="AN198" i="13"/>
  <c r="AS197" i="13"/>
  <c r="AR197" i="13"/>
  <c r="AQ197" i="13"/>
  <c r="AP197" i="13"/>
  <c r="AO197" i="13"/>
  <c r="AN197" i="13"/>
  <c r="AS196" i="13"/>
  <c r="AR196" i="13"/>
  <c r="AQ196" i="13"/>
  <c r="AP196" i="13"/>
  <c r="AO196" i="13"/>
  <c r="AN196" i="13"/>
  <c r="AS195" i="13"/>
  <c r="AR195" i="13"/>
  <c r="AQ195" i="13"/>
  <c r="AP195" i="13"/>
  <c r="AO195" i="13"/>
  <c r="AN195" i="13"/>
  <c r="AS194" i="13"/>
  <c r="AR194" i="13"/>
  <c r="AQ194" i="13"/>
  <c r="AP194" i="13"/>
  <c r="AO194" i="13"/>
  <c r="AN194" i="13"/>
  <c r="AR193" i="13"/>
  <c r="AQ193" i="13"/>
  <c r="AP193" i="13"/>
  <c r="AO193" i="13"/>
  <c r="AN193" i="13"/>
  <c r="AN190" i="13"/>
  <c r="AN189" i="13"/>
  <c r="AN188" i="13"/>
  <c r="AN187" i="13"/>
  <c r="AN186" i="13"/>
  <c r="AN185" i="13"/>
  <c r="AN184" i="13"/>
  <c r="AN183" i="13"/>
  <c r="AN182" i="13"/>
  <c r="AN181" i="13"/>
  <c r="AN180" i="13"/>
  <c r="AN179" i="13"/>
  <c r="AN178" i="13"/>
  <c r="AN177" i="13"/>
  <c r="AN176" i="13"/>
  <c r="AN175" i="13"/>
  <c r="AN174" i="13"/>
  <c r="AN173" i="13"/>
  <c r="AN172" i="13"/>
  <c r="AN171" i="13"/>
  <c r="AN170" i="13"/>
  <c r="AN169" i="13"/>
  <c r="AN168" i="13"/>
  <c r="AN167" i="13"/>
  <c r="AN166" i="13"/>
  <c r="AN165" i="13"/>
  <c r="AN164" i="13"/>
  <c r="AN163" i="13"/>
  <c r="AN162" i="13"/>
  <c r="AN161" i="13"/>
  <c r="AN160" i="13"/>
  <c r="AN159" i="13"/>
  <c r="AN158" i="13"/>
  <c r="AN157" i="13"/>
  <c r="AN156" i="13"/>
  <c r="AN155" i="13"/>
  <c r="AN154" i="13"/>
  <c r="AN153" i="13"/>
  <c r="AN152" i="13"/>
  <c r="AN151" i="13"/>
  <c r="AN150" i="13"/>
  <c r="AN149" i="13"/>
  <c r="AN148" i="13"/>
  <c r="AN147" i="13"/>
  <c r="AN146" i="13"/>
  <c r="AN145" i="13"/>
  <c r="AN144" i="13"/>
  <c r="AR143" i="13"/>
  <c r="AQ143" i="13"/>
  <c r="AP143" i="13"/>
  <c r="AO143" i="13"/>
  <c r="AN143" i="13"/>
  <c r="B142" i="13"/>
  <c r="A142" i="13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R136" i="13"/>
  <c r="AQ136" i="13"/>
  <c r="AP136" i="13"/>
  <c r="AO136" i="13"/>
  <c r="AN136" i="13"/>
  <c r="AM134" i="13"/>
  <c r="AL134" i="13"/>
  <c r="AK134" i="13"/>
  <c r="AJ134" i="13"/>
  <c r="AI134" i="13"/>
  <c r="AR126" i="13"/>
  <c r="AQ126" i="13"/>
  <c r="AP126" i="13"/>
  <c r="AO126" i="13"/>
  <c r="AN126" i="13"/>
  <c r="AR125" i="13"/>
  <c r="AQ125" i="13"/>
  <c r="AP125" i="13"/>
  <c r="AO125" i="13"/>
  <c r="AN125" i="13"/>
  <c r="AS118" i="13"/>
  <c r="AR118" i="13"/>
  <c r="AQ118" i="13"/>
  <c r="AP118" i="13"/>
  <c r="AO118" i="13"/>
  <c r="AN118" i="13"/>
  <c r="AM118" i="13"/>
  <c r="AL118" i="13"/>
  <c r="AW118" i="13" s="1"/>
  <c r="AK118" i="13"/>
  <c r="AV118" i="13" s="1"/>
  <c r="AJ118" i="13"/>
  <c r="AU118" i="13" s="1"/>
  <c r="AI118" i="13"/>
  <c r="AT118" i="13" s="1"/>
  <c r="AW110" i="13"/>
  <c r="AV110" i="13"/>
  <c r="AU110" i="13"/>
  <c r="AT110" i="13"/>
  <c r="AS110" i="13"/>
  <c r="AR110" i="13"/>
  <c r="AQ110" i="13"/>
  <c r="AP110" i="13"/>
  <c r="AO110" i="13"/>
  <c r="AN110" i="13"/>
  <c r="AW109" i="13"/>
  <c r="AV109" i="13"/>
  <c r="AU109" i="13"/>
  <c r="AT109" i="13"/>
  <c r="AS109" i="13"/>
  <c r="AR109" i="13"/>
  <c r="AQ109" i="13"/>
  <c r="AP109" i="13"/>
  <c r="AO109" i="13"/>
  <c r="AN109" i="13"/>
  <c r="AW108" i="13"/>
  <c r="AV108" i="13"/>
  <c r="AU108" i="13"/>
  <c r="AT108" i="13"/>
  <c r="AS108" i="13"/>
  <c r="AR108" i="13"/>
  <c r="AQ108" i="13"/>
  <c r="AP108" i="13"/>
  <c r="AO108" i="13"/>
  <c r="AN108" i="13"/>
  <c r="AS107" i="13"/>
  <c r="AR107" i="13"/>
  <c r="AQ107" i="13"/>
  <c r="AP107" i="13"/>
  <c r="AO107" i="13"/>
  <c r="AN107" i="13"/>
  <c r="AS106" i="13"/>
  <c r="AR106" i="13"/>
  <c r="AQ106" i="13"/>
  <c r="AP106" i="13"/>
  <c r="AO106" i="13"/>
  <c r="AN106" i="13"/>
  <c r="AS105" i="13"/>
  <c r="AR105" i="13"/>
  <c r="AQ105" i="13"/>
  <c r="AP105" i="13"/>
  <c r="AO105" i="13"/>
  <c r="AN105" i="13"/>
  <c r="AS104" i="13"/>
  <c r="AR104" i="13"/>
  <c r="AQ104" i="13"/>
  <c r="AP104" i="13"/>
  <c r="AO104" i="13"/>
  <c r="AN104" i="13"/>
  <c r="AS103" i="13"/>
  <c r="AR103" i="13"/>
  <c r="AQ103" i="13"/>
  <c r="AP103" i="13"/>
  <c r="AO103" i="13"/>
  <c r="AN103" i="13"/>
  <c r="AS102" i="13"/>
  <c r="AR102" i="13"/>
  <c r="AQ102" i="13"/>
  <c r="AP102" i="13"/>
  <c r="AO102" i="13"/>
  <c r="AN102" i="13"/>
  <c r="AR101" i="13"/>
  <c r="AQ101" i="13"/>
  <c r="AP101" i="13"/>
  <c r="AO101" i="13"/>
  <c r="AN101" i="13"/>
  <c r="AW100" i="13"/>
  <c r="AV100" i="13"/>
  <c r="AU100" i="13"/>
  <c r="AT100" i="13"/>
  <c r="AS100" i="13"/>
  <c r="AR100" i="13"/>
  <c r="AQ100" i="13"/>
  <c r="AP100" i="13"/>
  <c r="AO100" i="13"/>
  <c r="AN100" i="13"/>
  <c r="AW99" i="13"/>
  <c r="AV99" i="13"/>
  <c r="AU99" i="13"/>
  <c r="AT99" i="13"/>
  <c r="AS99" i="13"/>
  <c r="AR99" i="13"/>
  <c r="AQ99" i="13"/>
  <c r="AP99" i="13"/>
  <c r="AO99" i="13"/>
  <c r="AN99" i="13"/>
  <c r="AW98" i="13"/>
  <c r="AV98" i="13"/>
  <c r="AU98" i="13"/>
  <c r="AT98" i="13"/>
  <c r="AS98" i="13"/>
  <c r="AR98" i="13"/>
  <c r="AQ98" i="13"/>
  <c r="AP98" i="13"/>
  <c r="AO98" i="13"/>
  <c r="AN98" i="13"/>
  <c r="AS97" i="13"/>
  <c r="AR97" i="13"/>
  <c r="AQ97" i="13"/>
  <c r="AP97" i="13"/>
  <c r="AO97" i="13"/>
  <c r="AN97" i="13"/>
  <c r="AM97" i="13"/>
  <c r="AL97" i="13"/>
  <c r="AW97" i="13" s="1"/>
  <c r="AK97" i="13"/>
  <c r="AV97" i="13" s="1"/>
  <c r="AJ97" i="13"/>
  <c r="AU97" i="13" s="1"/>
  <c r="AI97" i="13"/>
  <c r="AT97" i="13" s="1"/>
  <c r="AW96" i="13"/>
  <c r="AV96" i="13"/>
  <c r="AU96" i="13"/>
  <c r="AT96" i="13"/>
  <c r="AS96" i="13"/>
  <c r="AR96" i="13"/>
  <c r="AQ96" i="13"/>
  <c r="AP96" i="13"/>
  <c r="AO96" i="13"/>
  <c r="AN96" i="13"/>
  <c r="AW95" i="13"/>
  <c r="AV95" i="13"/>
  <c r="AU95" i="13"/>
  <c r="AT95" i="13"/>
  <c r="AS95" i="13"/>
  <c r="AR95" i="13"/>
  <c r="AQ95" i="13"/>
  <c r="AP95" i="13"/>
  <c r="AO95" i="13"/>
  <c r="AN95" i="13"/>
  <c r="AS94" i="13"/>
  <c r="AR94" i="13"/>
  <c r="AQ94" i="13"/>
  <c r="AP94" i="13"/>
  <c r="AO94" i="13"/>
  <c r="AN94" i="13"/>
  <c r="AW93" i="13"/>
  <c r="AV93" i="13"/>
  <c r="AU93" i="13"/>
  <c r="AT93" i="13"/>
  <c r="AS93" i="13"/>
  <c r="AR93" i="13"/>
  <c r="AQ93" i="13"/>
  <c r="AP93" i="13"/>
  <c r="AO93" i="13"/>
  <c r="AN93" i="13"/>
  <c r="AW92" i="13"/>
  <c r="AV92" i="13"/>
  <c r="AS92" i="13"/>
  <c r="AR92" i="13"/>
  <c r="AQ92" i="13"/>
  <c r="AP92" i="13"/>
  <c r="AO92" i="13"/>
  <c r="AN92" i="13"/>
  <c r="AM92" i="13"/>
  <c r="AL92" i="13"/>
  <c r="AK92" i="13"/>
  <c r="AJ92" i="13"/>
  <c r="AU92" i="13" s="1"/>
  <c r="AI92" i="13"/>
  <c r="AT92" i="13" s="1"/>
  <c r="AS91" i="13"/>
  <c r="AR91" i="13"/>
  <c r="AQ91" i="13"/>
  <c r="AP91" i="13"/>
  <c r="AO91" i="13"/>
  <c r="AN91" i="13"/>
  <c r="AW90" i="13"/>
  <c r="AV90" i="13"/>
  <c r="AU90" i="13"/>
  <c r="AT90" i="13"/>
  <c r="AS90" i="13"/>
  <c r="AR90" i="13"/>
  <c r="AQ90" i="13"/>
  <c r="AP90" i="13"/>
  <c r="AO90" i="13"/>
  <c r="AN90" i="13"/>
  <c r="AS89" i="13"/>
  <c r="AR89" i="13"/>
  <c r="AQ89" i="13"/>
  <c r="AP89" i="13"/>
  <c r="AO89" i="13"/>
  <c r="AN89" i="13"/>
  <c r="AR88" i="13"/>
  <c r="AQ88" i="13"/>
  <c r="AP88" i="13"/>
  <c r="AO88" i="13"/>
  <c r="AN88" i="13"/>
  <c r="AS87" i="13"/>
  <c r="AR87" i="13"/>
  <c r="AQ87" i="13"/>
  <c r="AP87" i="13"/>
  <c r="AO87" i="13"/>
  <c r="AN87" i="13"/>
  <c r="AS86" i="13"/>
  <c r="AR86" i="13"/>
  <c r="AQ86" i="13"/>
  <c r="AP86" i="13"/>
  <c r="AO86" i="13"/>
  <c r="AN86" i="13"/>
  <c r="AS85" i="13"/>
  <c r="AR85" i="13"/>
  <c r="AQ85" i="13"/>
  <c r="AP85" i="13"/>
  <c r="AO85" i="13"/>
  <c r="AN85" i="13"/>
  <c r="AR84" i="13"/>
  <c r="AQ84" i="13"/>
  <c r="AP84" i="13"/>
  <c r="AO84" i="13"/>
  <c r="AN84" i="13"/>
  <c r="AS83" i="13"/>
  <c r="AR83" i="13"/>
  <c r="AQ83" i="13"/>
  <c r="AP83" i="13"/>
  <c r="AO83" i="13"/>
  <c r="AN83" i="13"/>
  <c r="AS82" i="13"/>
  <c r="AR82" i="13"/>
  <c r="AQ82" i="13"/>
  <c r="AP82" i="13"/>
  <c r="AO82" i="13"/>
  <c r="AN82" i="13"/>
  <c r="AS81" i="13"/>
  <c r="AR81" i="13"/>
  <c r="AQ81" i="13"/>
  <c r="AP81" i="13"/>
  <c r="AO81" i="13"/>
  <c r="AN81" i="13"/>
  <c r="AR80" i="13"/>
  <c r="AQ80" i="13"/>
  <c r="AP80" i="13"/>
  <c r="AO80" i="13"/>
  <c r="AN80" i="13"/>
  <c r="AS79" i="13"/>
  <c r="AR79" i="13"/>
  <c r="AQ79" i="13"/>
  <c r="AP79" i="13"/>
  <c r="AO79" i="13"/>
  <c r="AN79" i="13"/>
  <c r="AS78" i="13"/>
  <c r="AR78" i="13"/>
  <c r="AQ78" i="13"/>
  <c r="AP78" i="13"/>
  <c r="AO78" i="13"/>
  <c r="AN78" i="13"/>
  <c r="AS77" i="13"/>
  <c r="AR77" i="13"/>
  <c r="AQ77" i="13"/>
  <c r="AP77" i="13"/>
  <c r="AO77" i="13"/>
  <c r="AN77" i="13"/>
  <c r="AS76" i="13"/>
  <c r="AR76" i="13"/>
  <c r="AQ76" i="13"/>
  <c r="AP76" i="13"/>
  <c r="AO76" i="13"/>
  <c r="AN76" i="13"/>
  <c r="AW75" i="13"/>
  <c r="AV75" i="13"/>
  <c r="AU75" i="13"/>
  <c r="AT75" i="13"/>
  <c r="AS75" i="13"/>
  <c r="AR75" i="13"/>
  <c r="AQ75" i="13"/>
  <c r="AP75" i="13"/>
  <c r="AO75" i="13"/>
  <c r="AN75" i="13"/>
  <c r="AW74" i="13"/>
  <c r="AV74" i="13"/>
  <c r="AU74" i="13"/>
  <c r="AT74" i="13"/>
  <c r="AS74" i="13"/>
  <c r="AR74" i="13"/>
  <c r="AQ74" i="13"/>
  <c r="AP74" i="13"/>
  <c r="AO74" i="13"/>
  <c r="AN74" i="13"/>
  <c r="AS73" i="13"/>
  <c r="AR73" i="13"/>
  <c r="AQ73" i="13"/>
  <c r="AP73" i="13"/>
  <c r="AO73" i="13"/>
  <c r="AN73" i="13"/>
  <c r="AS72" i="13"/>
  <c r="AR72" i="13"/>
  <c r="AQ72" i="13"/>
  <c r="AP72" i="13"/>
  <c r="AO72" i="13"/>
  <c r="AN72" i="13"/>
  <c r="AS71" i="13"/>
  <c r="AR71" i="13"/>
  <c r="AQ71" i="13"/>
  <c r="AP71" i="13"/>
  <c r="AO71" i="13"/>
  <c r="AN71" i="13"/>
  <c r="AS70" i="13"/>
  <c r="AR70" i="13"/>
  <c r="AQ70" i="13"/>
  <c r="AP70" i="13"/>
  <c r="AO70" i="13"/>
  <c r="AN70" i="13"/>
  <c r="AS69" i="13"/>
  <c r="AR69" i="13"/>
  <c r="AQ69" i="13"/>
  <c r="AP69" i="13"/>
  <c r="AO69" i="13"/>
  <c r="AN69" i="13"/>
  <c r="AS68" i="13"/>
  <c r="AR68" i="13"/>
  <c r="AQ68" i="13"/>
  <c r="AP68" i="13"/>
  <c r="AO68" i="13"/>
  <c r="AN68" i="13"/>
  <c r="AR67" i="13"/>
  <c r="AQ67" i="13"/>
  <c r="AP67" i="13"/>
  <c r="AO67" i="13"/>
  <c r="AN67" i="13"/>
  <c r="AN64" i="13"/>
  <c r="AN63" i="13"/>
  <c r="AN62" i="13"/>
  <c r="AN61" i="13"/>
  <c r="AN60" i="13"/>
  <c r="AN59" i="13"/>
  <c r="AN58" i="13"/>
  <c r="AN57" i="13"/>
  <c r="AN56" i="13"/>
  <c r="AN55" i="13"/>
  <c r="AN54" i="13"/>
  <c r="AN53" i="13"/>
  <c r="AN52" i="13"/>
  <c r="AN51" i="13"/>
  <c r="AN50" i="13"/>
  <c r="AN49" i="13"/>
  <c r="AN48" i="13"/>
  <c r="AN47" i="13"/>
  <c r="AN46" i="13"/>
  <c r="AN45" i="13"/>
  <c r="AN44" i="13"/>
  <c r="AN43" i="13"/>
  <c r="AN42" i="13"/>
  <c r="AN41" i="13"/>
  <c r="AN40" i="13"/>
  <c r="AN39" i="13"/>
  <c r="AN38" i="13"/>
  <c r="AN37" i="13"/>
  <c r="AN36" i="13"/>
  <c r="AN35" i="13"/>
  <c r="AN34" i="13"/>
  <c r="AN33" i="13"/>
  <c r="AN32" i="13"/>
  <c r="AN31" i="13"/>
  <c r="AN30" i="13"/>
  <c r="AN29" i="13"/>
  <c r="AN28" i="13"/>
  <c r="AN27" i="13"/>
  <c r="AN26" i="13"/>
  <c r="AN25" i="13"/>
  <c r="AN24" i="13"/>
  <c r="AN23" i="13"/>
  <c r="AN22" i="13"/>
  <c r="AN21" i="13"/>
  <c r="AN20" i="13"/>
  <c r="AN19" i="13"/>
  <c r="AN18" i="13"/>
  <c r="AR17" i="13"/>
  <c r="AQ17" i="13"/>
  <c r="AP17" i="13"/>
  <c r="AO17" i="13"/>
  <c r="AN17" i="13"/>
  <c r="A17" i="13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L16" i="13"/>
  <c r="A16" i="13"/>
  <c r="D16" i="13" s="1"/>
  <c r="AW14" i="13"/>
  <c r="AV14" i="13"/>
  <c r="AU14" i="13"/>
  <c r="AT14" i="13"/>
  <c r="AS14" i="13"/>
  <c r="AI3" i="13"/>
  <c r="AI144" i="13" s="1"/>
  <c r="AI143" i="13" s="1"/>
  <c r="AG3" i="13"/>
  <c r="AA3" i="13"/>
  <c r="Y3" i="13"/>
  <c r="S3" i="13"/>
  <c r="Q3" i="13"/>
  <c r="AM2" i="13"/>
  <c r="AL2" i="13"/>
  <c r="AK2" i="13"/>
  <c r="AJ2" i="13"/>
  <c r="AI2" i="13"/>
  <c r="AH2" i="13"/>
  <c r="AG2" i="13"/>
  <c r="AF2" i="13"/>
  <c r="AF3" i="13" s="1"/>
  <c r="AE2" i="13"/>
  <c r="AD2" i="13"/>
  <c r="AC2" i="13"/>
  <c r="AB2" i="13"/>
  <c r="AA2" i="13"/>
  <c r="Z2" i="13"/>
  <c r="Y2" i="13"/>
  <c r="X2" i="13"/>
  <c r="X3" i="13" s="1"/>
  <c r="W2" i="13"/>
  <c r="V2" i="13"/>
  <c r="U2" i="13"/>
  <c r="T2" i="13"/>
  <c r="S2" i="13"/>
  <c r="R2" i="13"/>
  <c r="Q2" i="13"/>
  <c r="P2" i="13"/>
  <c r="P3" i="13" s="1"/>
  <c r="O2" i="13"/>
  <c r="AW1" i="13"/>
  <c r="AW7" i="13" s="1"/>
  <c r="AV1" i="13"/>
  <c r="AV7" i="13" s="1"/>
  <c r="AU1" i="13"/>
  <c r="AU7" i="13" s="1"/>
  <c r="AT1" i="13"/>
  <c r="AT7" i="13" s="1"/>
  <c r="AS1" i="13"/>
  <c r="AS7" i="13" s="1"/>
  <c r="AR1" i="13"/>
  <c r="AR7" i="13" s="1"/>
  <c r="AQ1" i="13"/>
  <c r="AQ7" i="13" s="1"/>
  <c r="AP1" i="13"/>
  <c r="AP7" i="13" s="1"/>
  <c r="AO1" i="13"/>
  <c r="AO7" i="13" s="1"/>
  <c r="AN1" i="13"/>
  <c r="AN7" i="13" s="1"/>
  <c r="AM1" i="13"/>
  <c r="AM3" i="13" s="1"/>
  <c r="AL1" i="13"/>
  <c r="AL3" i="13" s="1"/>
  <c r="AK1" i="13"/>
  <c r="AK3" i="13" s="1"/>
  <c r="AJ1" i="13"/>
  <c r="AJ7" i="13" s="1"/>
  <c r="AI1" i="13"/>
  <c r="AI7" i="13" s="1"/>
  <c r="AH1" i="13"/>
  <c r="AH7" i="13" s="1"/>
  <c r="AG1" i="13"/>
  <c r="AG7" i="13" s="1"/>
  <c r="AF1" i="13"/>
  <c r="AF7" i="13" s="1"/>
  <c r="AE1" i="13"/>
  <c r="AE7" i="13" s="1"/>
  <c r="AD1" i="13"/>
  <c r="AD3" i="13" s="1"/>
  <c r="AC1" i="13"/>
  <c r="AC3" i="13" s="1"/>
  <c r="AB1" i="13"/>
  <c r="AB7" i="13" s="1"/>
  <c r="AA1" i="13"/>
  <c r="AA7" i="13" s="1"/>
  <c r="Z1" i="13"/>
  <c r="Z7" i="13" s="1"/>
  <c r="Y1" i="13"/>
  <c r="Y7" i="13" s="1"/>
  <c r="X1" i="13"/>
  <c r="X7" i="13" s="1"/>
  <c r="W1" i="13"/>
  <c r="W3" i="13" s="1"/>
  <c r="V1" i="13"/>
  <c r="V3" i="13" s="1"/>
  <c r="U1" i="13"/>
  <c r="U3" i="13" s="1"/>
  <c r="T1" i="13"/>
  <c r="T7" i="13" s="1"/>
  <c r="S1" i="13"/>
  <c r="R1" i="13"/>
  <c r="R3" i="13" s="1"/>
  <c r="Q1" i="13"/>
  <c r="P1" i="13"/>
  <c r="O1" i="13"/>
  <c r="O3" i="13" s="1"/>
  <c r="A67" i="13" l="1"/>
  <c r="A68" i="13" s="1"/>
  <c r="A69" i="13" s="1"/>
  <c r="D66" i="13"/>
  <c r="A193" i="13"/>
  <c r="A194" i="13" s="1"/>
  <c r="A195" i="13" s="1"/>
  <c r="D192" i="13"/>
  <c r="AM144" i="13"/>
  <c r="AM18" i="13"/>
  <c r="AK144" i="13"/>
  <c r="AK18" i="13"/>
  <c r="AL144" i="13"/>
  <c r="AL18" i="13"/>
  <c r="C116" i="13"/>
  <c r="C115" i="13"/>
  <c r="U7" i="13"/>
  <c r="AC7" i="13"/>
  <c r="AK7" i="13"/>
  <c r="AI18" i="13"/>
  <c r="AI17" i="13" s="1"/>
  <c r="Z3" i="13"/>
  <c r="AH3" i="13"/>
  <c r="V7" i="13"/>
  <c r="AD7" i="13"/>
  <c r="AL7" i="13"/>
  <c r="T3" i="13"/>
  <c r="AB3" i="13"/>
  <c r="AJ3" i="13"/>
  <c r="AM7" i="13"/>
  <c r="B16" i="13"/>
  <c r="W7" i="13"/>
  <c r="AE3" i="13"/>
  <c r="AT143" i="13"/>
  <c r="AS143" i="13"/>
  <c r="C254" i="13"/>
  <c r="C253" i="13"/>
  <c r="D142" i="13"/>
  <c r="L142" i="13"/>
  <c r="H40" i="11"/>
  <c r="AJ144" i="13" l="1"/>
  <c r="AJ143" i="13" s="1"/>
  <c r="AJ18" i="13"/>
  <c r="AJ17" i="13" s="1"/>
  <c r="C128" i="13"/>
  <c r="C127" i="13"/>
  <c r="AS17" i="13"/>
  <c r="AT17" i="13"/>
  <c r="C242" i="13"/>
  <c r="C241" i="13"/>
  <c r="AL195" i="13"/>
  <c r="AK195" i="13"/>
  <c r="AJ195" i="13"/>
  <c r="AI195" i="13"/>
  <c r="A196" i="13"/>
  <c r="AM195" i="13"/>
  <c r="AM69" i="13"/>
  <c r="AL69" i="13"/>
  <c r="AK69" i="13"/>
  <c r="AJ69" i="13"/>
  <c r="AI69" i="13"/>
  <c r="A70" i="13"/>
  <c r="AS167" i="1"/>
  <c r="AL167" i="1"/>
  <c r="AG167" i="1"/>
  <c r="AB167" i="1"/>
  <c r="W167" i="1"/>
  <c r="W34" i="1"/>
  <c r="W33" i="1"/>
  <c r="AK17" i="13" l="1"/>
  <c r="AU17" i="13"/>
  <c r="AL196" i="13"/>
  <c r="AW196" i="13" s="1"/>
  <c r="AK196" i="13"/>
  <c r="AV196" i="13" s="1"/>
  <c r="AJ196" i="13"/>
  <c r="AU196" i="13" s="1"/>
  <c r="AI196" i="13"/>
  <c r="AT196" i="13" s="1"/>
  <c r="A197" i="13"/>
  <c r="AM196" i="13"/>
  <c r="AM70" i="13"/>
  <c r="AL70" i="13"/>
  <c r="AW70" i="13" s="1"/>
  <c r="AK70" i="13"/>
  <c r="AV70" i="13" s="1"/>
  <c r="AJ70" i="13"/>
  <c r="AU70" i="13" s="1"/>
  <c r="AI70" i="13"/>
  <c r="AT70" i="13" s="1"/>
  <c r="A71" i="13"/>
  <c r="AT195" i="13"/>
  <c r="AT69" i="13"/>
  <c r="AU195" i="13"/>
  <c r="AU69" i="13"/>
  <c r="AV195" i="13"/>
  <c r="AW195" i="13"/>
  <c r="AV69" i="13"/>
  <c r="AW69" i="13"/>
  <c r="AK143" i="13"/>
  <c r="AU143" i="13"/>
  <c r="J83" i="11"/>
  <c r="I83" i="11"/>
  <c r="G83" i="11"/>
  <c r="J82" i="11"/>
  <c r="I82" i="11"/>
  <c r="G82" i="11"/>
  <c r="J81" i="11"/>
  <c r="I81" i="11"/>
  <c r="G81" i="11"/>
  <c r="J79" i="11"/>
  <c r="I79" i="11"/>
  <c r="G78" i="11"/>
  <c r="J76" i="11"/>
  <c r="I76" i="11"/>
  <c r="J75" i="11"/>
  <c r="I75" i="11"/>
  <c r="J74" i="11"/>
  <c r="I74" i="11"/>
  <c r="J73" i="11"/>
  <c r="I73" i="11"/>
  <c r="J72" i="11"/>
  <c r="I72" i="11"/>
  <c r="M69" i="11"/>
  <c r="M68" i="11"/>
  <c r="L68" i="11"/>
  <c r="I68" i="11"/>
  <c r="J69" i="11" s="1"/>
  <c r="B68" i="11"/>
  <c r="B69" i="11" s="1"/>
  <c r="M65" i="11"/>
  <c r="L65" i="11"/>
  <c r="M66" i="11" s="1"/>
  <c r="I62" i="11"/>
  <c r="J63" i="11" s="1"/>
  <c r="I61" i="11"/>
  <c r="M60" i="11"/>
  <c r="L60" i="11"/>
  <c r="M61" i="11" s="1"/>
  <c r="K60" i="11"/>
  <c r="L61" i="11" s="1"/>
  <c r="J60" i="11"/>
  <c r="K61" i="11" s="1"/>
  <c r="I60" i="11"/>
  <c r="J61" i="11" s="1"/>
  <c r="C60" i="11"/>
  <c r="B60" i="11"/>
  <c r="B61" i="11" s="1"/>
  <c r="L59" i="11"/>
  <c r="M58" i="11"/>
  <c r="L58" i="11"/>
  <c r="M59" i="11" s="1"/>
  <c r="K58" i="11"/>
  <c r="I58" i="11"/>
  <c r="J59" i="11" s="1"/>
  <c r="C57" i="11"/>
  <c r="K52" i="11"/>
  <c r="K68" i="11" s="1"/>
  <c r="L69" i="11" s="1"/>
  <c r="J52" i="11"/>
  <c r="J68" i="11" s="1"/>
  <c r="K69" i="11" s="1"/>
  <c r="I52" i="11"/>
  <c r="B51" i="11"/>
  <c r="B67" i="11" s="1"/>
  <c r="K50" i="11"/>
  <c r="K65" i="11" s="1"/>
  <c r="L66" i="11" s="1"/>
  <c r="J50" i="11"/>
  <c r="J65" i="11" s="1"/>
  <c r="K66" i="11" s="1"/>
  <c r="I50" i="11"/>
  <c r="I65" i="11" s="1"/>
  <c r="J66" i="11" s="1"/>
  <c r="M48" i="11"/>
  <c r="M62" i="11" s="1"/>
  <c r="L48" i="11"/>
  <c r="L62" i="11" s="1"/>
  <c r="M63" i="11" s="1"/>
  <c r="K48" i="11"/>
  <c r="K62" i="11" s="1"/>
  <c r="L63" i="11" s="1"/>
  <c r="J48" i="11"/>
  <c r="J62" i="11" s="1"/>
  <c r="K63" i="11" s="1"/>
  <c r="I48" i="11"/>
  <c r="B48" i="11"/>
  <c r="B62" i="11" s="1"/>
  <c r="B63" i="11" s="1"/>
  <c r="K47" i="11"/>
  <c r="J47" i="11"/>
  <c r="J58" i="11" s="1"/>
  <c r="K59" i="11" s="1"/>
  <c r="I47" i="11"/>
  <c r="C47" i="11"/>
  <c r="B47" i="11"/>
  <c r="B58" i="11" s="1"/>
  <c r="B59" i="11" s="1"/>
  <c r="C46" i="11"/>
  <c r="B50" i="11" s="1"/>
  <c r="B46" i="11"/>
  <c r="B57" i="11" s="1"/>
  <c r="G41" i="11"/>
  <c r="G40" i="11"/>
  <c r="C36" i="11"/>
  <c r="M35" i="11"/>
  <c r="L35" i="11"/>
  <c r="K35" i="11"/>
  <c r="J35" i="11"/>
  <c r="I35" i="11"/>
  <c r="M28" i="11"/>
  <c r="L28" i="11"/>
  <c r="K28" i="11"/>
  <c r="J28" i="11"/>
  <c r="I28" i="11"/>
  <c r="M27" i="11"/>
  <c r="K27" i="11"/>
  <c r="J27" i="11"/>
  <c r="I27" i="11"/>
  <c r="L27" i="11" s="1"/>
  <c r="K26" i="11"/>
  <c r="I26" i="11"/>
  <c r="J26" i="11" s="1"/>
  <c r="B26" i="11"/>
  <c r="B27" i="11" s="1"/>
  <c r="B28" i="11" s="1"/>
  <c r="I25" i="11"/>
  <c r="M25" i="11" s="1"/>
  <c r="M24" i="11" s="1"/>
  <c r="D25" i="11"/>
  <c r="B25" i="11"/>
  <c r="D24" i="11"/>
  <c r="B23" i="11"/>
  <c r="B24" i="11" s="1"/>
  <c r="C22" i="11"/>
  <c r="B22" i="11"/>
  <c r="M20" i="11"/>
  <c r="L20" i="11"/>
  <c r="K20" i="11"/>
  <c r="J20" i="11"/>
  <c r="I20" i="11"/>
  <c r="B20" i="11"/>
  <c r="B18" i="11"/>
  <c r="B16" i="11"/>
  <c r="B15" i="11"/>
  <c r="B17" i="11" s="1"/>
  <c r="P22" i="1"/>
  <c r="O22" i="1"/>
  <c r="N22" i="1"/>
  <c r="M22" i="1"/>
  <c r="J79" i="4"/>
  <c r="I79" i="4"/>
  <c r="I74" i="4"/>
  <c r="J74" i="4"/>
  <c r="I72" i="4"/>
  <c r="AL143" i="13" l="1"/>
  <c r="AV143" i="13"/>
  <c r="AV17" i="13"/>
  <c r="AL17" i="13"/>
  <c r="AM71" i="13"/>
  <c r="AL71" i="13"/>
  <c r="AW71" i="13" s="1"/>
  <c r="AK71" i="13"/>
  <c r="AJ71" i="13"/>
  <c r="AI71" i="13"/>
  <c r="AT71" i="13" s="1"/>
  <c r="A72" i="13"/>
  <c r="AL197" i="13"/>
  <c r="AK197" i="13"/>
  <c r="AV197" i="13" s="1"/>
  <c r="AJ197" i="13"/>
  <c r="AI197" i="13"/>
  <c r="AT197" i="13" s="1"/>
  <c r="A198" i="13"/>
  <c r="AM197" i="13"/>
  <c r="B65" i="11"/>
  <c r="B66" i="11" s="1"/>
  <c r="B49" i="11"/>
  <c r="B64" i="11" s="1"/>
  <c r="I24" i="11"/>
  <c r="J25" i="11"/>
  <c r="J24" i="11" s="1"/>
  <c r="L26" i="11"/>
  <c r="B52" i="11"/>
  <c r="K25" i="11"/>
  <c r="K24" i="11" s="1"/>
  <c r="M26" i="11"/>
  <c r="L25" i="11"/>
  <c r="L24" i="11" s="1"/>
  <c r="AU71" i="13" l="1"/>
  <c r="AL198" i="13"/>
  <c r="AW198" i="13" s="1"/>
  <c r="AK198" i="13"/>
  <c r="AV198" i="13" s="1"/>
  <c r="AJ198" i="13"/>
  <c r="AU198" i="13" s="1"/>
  <c r="AI198" i="13"/>
  <c r="AT198" i="13" s="1"/>
  <c r="A199" i="13"/>
  <c r="AM198" i="13"/>
  <c r="AV71" i="13"/>
  <c r="AW143" i="13"/>
  <c r="AM143" i="13"/>
  <c r="AU197" i="13"/>
  <c r="AW197" i="13"/>
  <c r="AM72" i="13"/>
  <c r="AL72" i="13"/>
  <c r="AW72" i="13" s="1"/>
  <c r="AK72" i="13"/>
  <c r="AV72" i="13" s="1"/>
  <c r="AJ72" i="13"/>
  <c r="AU72" i="13" s="1"/>
  <c r="AI72" i="13"/>
  <c r="AT72" i="13" s="1"/>
  <c r="A73" i="13"/>
  <c r="AW17" i="13"/>
  <c r="AM17" i="13"/>
  <c r="AP173" i="1"/>
  <c r="AO173" i="1"/>
  <c r="AN173" i="1"/>
  <c r="AM173" i="1"/>
  <c r="AK173" i="1"/>
  <c r="AJ173" i="1"/>
  <c r="AI173" i="1"/>
  <c r="AH173" i="1"/>
  <c r="AK175" i="1"/>
  <c r="AK176" i="1" s="1"/>
  <c r="AP175" i="1" s="1"/>
  <c r="AP176" i="1" s="1"/>
  <c r="AJ175" i="1"/>
  <c r="AJ176" i="1" s="1"/>
  <c r="AO175" i="1" s="1"/>
  <c r="AO176" i="1" s="1"/>
  <c r="AI175" i="1"/>
  <c r="AI176" i="1" s="1"/>
  <c r="AN175" i="1" s="1"/>
  <c r="AN176" i="1" s="1"/>
  <c r="AH175" i="1"/>
  <c r="AH176" i="1" s="1"/>
  <c r="AM175" i="1" s="1"/>
  <c r="AM176" i="1" s="1"/>
  <c r="AL199" i="13" l="1"/>
  <c r="AK199" i="13"/>
  <c r="AJ199" i="13"/>
  <c r="AU199" i="13" s="1"/>
  <c r="AI199" i="13"/>
  <c r="AT199" i="13" s="1"/>
  <c r="A200" i="13"/>
  <c r="A201" i="13" s="1"/>
  <c r="A202" i="13" s="1"/>
  <c r="AM199" i="13"/>
  <c r="AM73" i="13"/>
  <c r="AL73" i="13"/>
  <c r="AW73" i="13" s="1"/>
  <c r="AK73" i="13"/>
  <c r="AV73" i="13" s="1"/>
  <c r="AJ73" i="13"/>
  <c r="AU73" i="13" s="1"/>
  <c r="AI73" i="13"/>
  <c r="AT73" i="13" s="1"/>
  <c r="A74" i="13"/>
  <c r="A75" i="13" s="1"/>
  <c r="A76" i="13" s="1"/>
  <c r="AP125" i="1"/>
  <c r="AO125" i="1"/>
  <c r="AN125" i="1"/>
  <c r="AM125" i="1"/>
  <c r="AK125" i="1"/>
  <c r="AJ125" i="1"/>
  <c r="AI125" i="1"/>
  <c r="AH125" i="1"/>
  <c r="AF125" i="1"/>
  <c r="AE125" i="1"/>
  <c r="AD125" i="1"/>
  <c r="AC125" i="1"/>
  <c r="AP38" i="1"/>
  <c r="AO38" i="1"/>
  <c r="AN38" i="1"/>
  <c r="AK38" i="1"/>
  <c r="AJ38" i="1"/>
  <c r="AI38" i="1"/>
  <c r="AH38" i="1"/>
  <c r="AM38" i="1" s="1"/>
  <c r="AV199" i="13" l="1"/>
  <c r="AW199" i="13"/>
  <c r="A77" i="13"/>
  <c r="AM76" i="13"/>
  <c r="AL76" i="13"/>
  <c r="AW76" i="13" s="1"/>
  <c r="AK76" i="13"/>
  <c r="AV76" i="13" s="1"/>
  <c r="AJ76" i="13"/>
  <c r="AU76" i="13" s="1"/>
  <c r="AI76" i="13"/>
  <c r="AT76" i="13" s="1"/>
  <c r="A203" i="13"/>
  <c r="AM202" i="13"/>
  <c r="AL202" i="13"/>
  <c r="AW202" i="13" s="1"/>
  <c r="AK202" i="13"/>
  <c r="AV202" i="13" s="1"/>
  <c r="AJ202" i="13"/>
  <c r="AU202" i="13" s="1"/>
  <c r="AI202" i="13"/>
  <c r="AT202" i="13" s="1"/>
  <c r="AR34" i="1"/>
  <c r="N33" i="1"/>
  <c r="N34" i="1"/>
  <c r="N64" i="1"/>
  <c r="N63" i="1" s="1"/>
  <c r="W63" i="1" s="1"/>
  <c r="V17" i="1"/>
  <c r="W51" i="1"/>
  <c r="E22" i="9"/>
  <c r="E20" i="9"/>
  <c r="W60" i="1"/>
  <c r="W67" i="1"/>
  <c r="T67" i="1" s="1"/>
  <c r="W69" i="1"/>
  <c r="W68" i="1"/>
  <c r="L49" i="10"/>
  <c r="O40" i="10"/>
  <c r="M40" i="10"/>
  <c r="L40" i="10"/>
  <c r="I3" i="10"/>
  <c r="C151" i="10"/>
  <c r="E3" i="10"/>
  <c r="K17" i="9"/>
  <c r="K15" i="9"/>
  <c r="L17" i="9"/>
  <c r="D18" i="9"/>
  <c r="D15" i="9"/>
  <c r="J15" i="9"/>
  <c r="I15" i="9"/>
  <c r="H15" i="9"/>
  <c r="G15" i="9"/>
  <c r="F15" i="9"/>
  <c r="E15" i="9"/>
  <c r="K9" i="9"/>
  <c r="L9" i="9" s="1"/>
  <c r="K10" i="9"/>
  <c r="L10" i="9" s="1"/>
  <c r="K11" i="9"/>
  <c r="L11" i="9" s="1"/>
  <c r="K12" i="9"/>
  <c r="L12" i="9" s="1"/>
  <c r="K16" i="9"/>
  <c r="L16" i="9"/>
  <c r="L8" i="9"/>
  <c r="K8" i="9"/>
  <c r="A78" i="13" l="1"/>
  <c r="AM77" i="13"/>
  <c r="AL77" i="13"/>
  <c r="AW77" i="13" s="1"/>
  <c r="AK77" i="13"/>
  <c r="AV77" i="13" s="1"/>
  <c r="AJ77" i="13"/>
  <c r="AU77" i="13" s="1"/>
  <c r="AI77" i="13"/>
  <c r="AT77" i="13" s="1"/>
  <c r="A204" i="13"/>
  <c r="AM203" i="13"/>
  <c r="AL203" i="13"/>
  <c r="AW203" i="13" s="1"/>
  <c r="AK203" i="13"/>
  <c r="AV203" i="13" s="1"/>
  <c r="AJ203" i="13"/>
  <c r="AU203" i="13" s="1"/>
  <c r="AI203" i="13"/>
  <c r="AT203" i="13" s="1"/>
  <c r="L15" i="9"/>
  <c r="A79" i="13" l="1"/>
  <c r="AM78" i="13"/>
  <c r="AM68" i="13" s="1"/>
  <c r="AL78" i="13"/>
  <c r="AK78" i="13"/>
  <c r="AJ78" i="13"/>
  <c r="AI78" i="13"/>
  <c r="A205" i="13"/>
  <c r="AM204" i="13"/>
  <c r="AM194" i="13" s="1"/>
  <c r="AL204" i="13"/>
  <c r="AW204" i="13" s="1"/>
  <c r="AK204" i="13"/>
  <c r="AJ204" i="13"/>
  <c r="AI204" i="13"/>
  <c r="W71" i="1"/>
  <c r="A206" i="13" l="1"/>
  <c r="A207" i="13" s="1"/>
  <c r="AT78" i="13"/>
  <c r="AI68" i="13"/>
  <c r="AL194" i="13"/>
  <c r="AU78" i="13"/>
  <c r="AJ68" i="13"/>
  <c r="AT204" i="13"/>
  <c r="AI194" i="13"/>
  <c r="AV78" i="13"/>
  <c r="AK68" i="13"/>
  <c r="AW78" i="13"/>
  <c r="AL68" i="13"/>
  <c r="AU204" i="13"/>
  <c r="AJ194" i="13"/>
  <c r="AV204" i="13"/>
  <c r="AK194" i="13"/>
  <c r="A80" i="13"/>
  <c r="A81" i="13" s="1"/>
  <c r="W64" i="1"/>
  <c r="AR64" i="1" s="1"/>
  <c r="W49" i="1"/>
  <c r="W44" i="1"/>
  <c r="A208" i="13" l="1"/>
  <c r="A82" i="13"/>
  <c r="AV68" i="13"/>
  <c r="AT68" i="13"/>
  <c r="AU194" i="13"/>
  <c r="AU68" i="13"/>
  <c r="AV194" i="13"/>
  <c r="AT194" i="13"/>
  <c r="AW68" i="13"/>
  <c r="AW194" i="13"/>
  <c r="N35" i="1"/>
  <c r="A209" i="13" l="1"/>
  <c r="A83" i="13"/>
  <c r="W39" i="1"/>
  <c r="A84" i="13" l="1"/>
  <c r="A210" i="13"/>
  <c r="S154" i="1"/>
  <c r="A211" i="13" l="1"/>
  <c r="A85" i="13"/>
  <c r="S44" i="1"/>
  <c r="S49" i="1"/>
  <c r="S51" i="1"/>
  <c r="S124" i="1"/>
  <c r="S111" i="1" s="1"/>
  <c r="S71" i="1"/>
  <c r="S69" i="1"/>
  <c r="S68" i="1"/>
  <c r="S67" i="1"/>
  <c r="S61" i="1"/>
  <c r="S66" i="1"/>
  <c r="S65" i="1"/>
  <c r="S64" i="1"/>
  <c r="S41" i="1"/>
  <c r="S40" i="1"/>
  <c r="S39" i="1"/>
  <c r="S38" i="1"/>
  <c r="S35" i="1"/>
  <c r="S33" i="1"/>
  <c r="M71" i="1"/>
  <c r="M66" i="1"/>
  <c r="M64" i="1"/>
  <c r="M62" i="1"/>
  <c r="M61" i="1"/>
  <c r="M60" i="1"/>
  <c r="M59" i="1"/>
  <c r="M51" i="1"/>
  <c r="M50" i="1"/>
  <c r="M49" i="1"/>
  <c r="M48" i="1"/>
  <c r="M47" i="1"/>
  <c r="M46" i="1"/>
  <c r="M45" i="1"/>
  <c r="M44" i="1"/>
  <c r="M43" i="1"/>
  <c r="M42" i="1"/>
  <c r="M41" i="1"/>
  <c r="M39" i="1"/>
  <c r="M37" i="1"/>
  <c r="M36" i="1"/>
  <c r="M34" i="1"/>
  <c r="M32" i="1"/>
  <c r="M31" i="1"/>
  <c r="S147" i="1"/>
  <c r="A86" i="13" l="1"/>
  <c r="A212" i="13"/>
  <c r="S59" i="1"/>
  <c r="R111" i="1"/>
  <c r="V67" i="1"/>
  <c r="V63" i="1"/>
  <c r="T63" i="1" s="1"/>
  <c r="AP22" i="1"/>
  <c r="AO22" i="1"/>
  <c r="AN22" i="1"/>
  <c r="AM22" i="1"/>
  <c r="AK22" i="1"/>
  <c r="AJ22" i="1"/>
  <c r="AI22" i="1"/>
  <c r="AH22" i="1"/>
  <c r="AF22" i="1"/>
  <c r="AE22" i="1"/>
  <c r="AD22" i="1"/>
  <c r="AC22" i="1"/>
  <c r="AA22" i="1"/>
  <c r="Z22" i="1"/>
  <c r="Y22" i="1"/>
  <c r="X22" i="1"/>
  <c r="V22" i="1"/>
  <c r="R22" i="1"/>
  <c r="R50" i="1"/>
  <c r="N50" i="1"/>
  <c r="R44" i="1"/>
  <c r="N44" i="1"/>
  <c r="N31" i="1"/>
  <c r="R59" i="1"/>
  <c r="N59" i="1"/>
  <c r="N61" i="1"/>
  <c r="R62" i="1"/>
  <c r="W62" i="1"/>
  <c r="V62" i="1" s="1"/>
  <c r="W57" i="1"/>
  <c r="W55" i="1"/>
  <c r="W54" i="1"/>
  <c r="T54" i="1" s="1"/>
  <c r="V57" i="1"/>
  <c r="V56" i="1"/>
  <c r="V55" i="1"/>
  <c r="T55" i="1" s="1"/>
  <c r="V54" i="1"/>
  <c r="V58" i="1"/>
  <c r="R41" i="1"/>
  <c r="R37" i="1"/>
  <c r="R36" i="1"/>
  <c r="R32" i="1"/>
  <c r="R30" i="1"/>
  <c r="R17" i="1"/>
  <c r="R19" i="1"/>
  <c r="R21" i="1"/>
  <c r="N17" i="1"/>
  <c r="A213" i="13" l="1"/>
  <c r="A87" i="13"/>
  <c r="V64" i="1"/>
  <c r="T62" i="1"/>
  <c r="T64" i="1" s="1"/>
  <c r="W66" i="1"/>
  <c r="W61" i="1" s="1"/>
  <c r="R25" i="1"/>
  <c r="N25" i="1"/>
  <c r="R66" i="1"/>
  <c r="R61" i="1" s="1"/>
  <c r="W56" i="1"/>
  <c r="T56" i="1"/>
  <c r="T57" i="1"/>
  <c r="R31" i="1"/>
  <c r="A88" i="13" l="1"/>
  <c r="A214" i="13"/>
  <c r="AQ14" i="1"/>
  <c r="AL14" i="1"/>
  <c r="AJ14" i="1"/>
  <c r="AI14" i="1"/>
  <c r="AG14" i="1"/>
  <c r="AE14" i="1"/>
  <c r="AD14" i="1"/>
  <c r="AB14" i="1"/>
  <c r="Z14" i="1"/>
  <c r="Y14" i="1"/>
  <c r="AM12" i="1"/>
  <c r="AH12" i="1"/>
  <c r="AC12" i="1"/>
  <c r="X12" i="1"/>
  <c r="W14" i="1"/>
  <c r="U14" i="1"/>
  <c r="T14" i="1"/>
  <c r="R12" i="1"/>
  <c r="P12" i="1"/>
  <c r="A215" i="13" l="1"/>
  <c r="A89" i="13"/>
  <c r="M12" i="1"/>
  <c r="A90" i="13" l="1"/>
  <c r="A91" i="13" s="1"/>
  <c r="A216" i="13"/>
  <c r="A217" i="13" s="1"/>
  <c r="J83" i="4"/>
  <c r="J82" i="4"/>
  <c r="J81" i="4"/>
  <c r="J76" i="4"/>
  <c r="J75" i="4"/>
  <c r="J73" i="4"/>
  <c r="AM217" i="13" l="1"/>
  <c r="AK217" i="13"/>
  <c r="AV217" i="13" s="1"/>
  <c r="AJ217" i="13"/>
  <c r="AU217" i="13" s="1"/>
  <c r="AI217" i="13"/>
  <c r="AT217" i="13" s="1"/>
  <c r="A218" i="13"/>
  <c r="A219" i="13" s="1"/>
  <c r="A220" i="13" s="1"/>
  <c r="AL217" i="13"/>
  <c r="AW217" i="13" s="1"/>
  <c r="AM91" i="13"/>
  <c r="AL91" i="13"/>
  <c r="AW91" i="13" s="1"/>
  <c r="AK91" i="13"/>
  <c r="AV91" i="13" s="1"/>
  <c r="AJ91" i="13"/>
  <c r="AU91" i="13" s="1"/>
  <c r="AI91" i="13"/>
  <c r="AT91" i="13" s="1"/>
  <c r="A92" i="13"/>
  <c r="A93" i="13" s="1"/>
  <c r="A94" i="13" s="1"/>
  <c r="R154" i="1"/>
  <c r="Q154" i="1"/>
  <c r="P154" i="1"/>
  <c r="N154" i="1"/>
  <c r="M154" i="1"/>
  <c r="L154" i="1"/>
  <c r="K154" i="1"/>
  <c r="J154" i="1"/>
  <c r="I154" i="1"/>
  <c r="H154" i="1"/>
  <c r="AJ220" i="13" l="1"/>
  <c r="AU220" i="13" s="1"/>
  <c r="A221" i="13"/>
  <c r="A222" i="13" s="1"/>
  <c r="A223" i="13" s="1"/>
  <c r="A224" i="13" s="1"/>
  <c r="A225" i="13" s="1"/>
  <c r="A226" i="13" s="1"/>
  <c r="A227" i="13" s="1"/>
  <c r="AM220" i="13"/>
  <c r="AL220" i="13"/>
  <c r="AW220" i="13" s="1"/>
  <c r="AK220" i="13"/>
  <c r="AV220" i="13" s="1"/>
  <c r="AI220" i="13"/>
  <c r="AT220" i="13" s="1"/>
  <c r="AJ94" i="13"/>
  <c r="AU94" i="13" s="1"/>
  <c r="AI94" i="13"/>
  <c r="AT94" i="13" s="1"/>
  <c r="A95" i="13"/>
  <c r="A96" i="13" s="1"/>
  <c r="A97" i="13" s="1"/>
  <c r="A98" i="13" s="1"/>
  <c r="A99" i="13" s="1"/>
  <c r="A100" i="13" s="1"/>
  <c r="A101" i="13" s="1"/>
  <c r="AM94" i="13"/>
  <c r="AL94" i="13"/>
  <c r="AW94" i="13" s="1"/>
  <c r="AK94" i="13"/>
  <c r="AV94" i="13" s="1"/>
  <c r="AP154" i="1"/>
  <c r="AO154" i="1"/>
  <c r="AN154" i="1"/>
  <c r="AM154" i="1"/>
  <c r="AK154" i="1"/>
  <c r="AJ154" i="1"/>
  <c r="AI154" i="1"/>
  <c r="AH154" i="1"/>
  <c r="AF154" i="1"/>
  <c r="AE154" i="1"/>
  <c r="AD154" i="1"/>
  <c r="AC154" i="1"/>
  <c r="AA154" i="1"/>
  <c r="Z154" i="1"/>
  <c r="Y154" i="1"/>
  <c r="X154" i="1"/>
  <c r="U107" i="1"/>
  <c r="A102" i="13" l="1"/>
  <c r="A228" i="13"/>
  <c r="AW24" i="1"/>
  <c r="AK102" i="13" l="1"/>
  <c r="AV102" i="13" s="1"/>
  <c r="AJ102" i="13"/>
  <c r="AU102" i="13" s="1"/>
  <c r="AI102" i="13"/>
  <c r="AT102" i="13" s="1"/>
  <c r="A103" i="13"/>
  <c r="AM102" i="13"/>
  <c r="AL102" i="13"/>
  <c r="AW102" i="13" s="1"/>
  <c r="AK228" i="13"/>
  <c r="AV228" i="13" s="1"/>
  <c r="AI228" i="13"/>
  <c r="AT228" i="13" s="1"/>
  <c r="A229" i="13"/>
  <c r="AM228" i="13"/>
  <c r="AL228" i="13"/>
  <c r="AW228" i="13" s="1"/>
  <c r="AJ228" i="13"/>
  <c r="AU228" i="13" s="1"/>
  <c r="AA124" i="1"/>
  <c r="Z124" i="1"/>
  <c r="Y124" i="1"/>
  <c r="X124" i="1"/>
  <c r="X111" i="1" s="1"/>
  <c r="AP124" i="1"/>
  <c r="AP111" i="1" s="1"/>
  <c r="AN124" i="1"/>
  <c r="AM124" i="1"/>
  <c r="AM111" i="1" s="1"/>
  <c r="AJ124" i="1"/>
  <c r="AJ111" i="1" s="1"/>
  <c r="AI124" i="1"/>
  <c r="AI111" i="1" s="1"/>
  <c r="AH124" i="1"/>
  <c r="AH111" i="1" s="1"/>
  <c r="AF124" i="1"/>
  <c r="AE124" i="1"/>
  <c r="AE111" i="1" s="1"/>
  <c r="AD124" i="1"/>
  <c r="AD111" i="1" s="1"/>
  <c r="AA111" i="1"/>
  <c r="Z111" i="1"/>
  <c r="Y111" i="1"/>
  <c r="AK103" i="13" l="1"/>
  <c r="AV103" i="13" s="1"/>
  <c r="AJ103" i="13"/>
  <c r="AU103" i="13" s="1"/>
  <c r="AI103" i="13"/>
  <c r="AT103" i="13" s="1"/>
  <c r="A104" i="13"/>
  <c r="A105" i="13" s="1"/>
  <c r="AM103" i="13"/>
  <c r="AL103" i="13"/>
  <c r="AW103" i="13" s="1"/>
  <c r="AK229" i="13"/>
  <c r="AV229" i="13" s="1"/>
  <c r="AI229" i="13"/>
  <c r="AT229" i="13" s="1"/>
  <c r="A230" i="13"/>
  <c r="A231" i="13" s="1"/>
  <c r="AM229" i="13"/>
  <c r="AL229" i="13"/>
  <c r="AW229" i="13" s="1"/>
  <c r="AJ229" i="13"/>
  <c r="AU229" i="13" s="1"/>
  <c r="AC124" i="1"/>
  <c r="AC111" i="1" s="1"/>
  <c r="AK124" i="1"/>
  <c r="AK111" i="1" s="1"/>
  <c r="AO124" i="1"/>
  <c r="AO111" i="1" s="1"/>
  <c r="AF111" i="1"/>
  <c r="AN111" i="1"/>
  <c r="AK105" i="13" l="1"/>
  <c r="AJ105" i="13"/>
  <c r="AI105" i="13"/>
  <c r="A106" i="13"/>
  <c r="AL105" i="13"/>
  <c r="AM105" i="13"/>
  <c r="AK231" i="13"/>
  <c r="AI231" i="13"/>
  <c r="A232" i="13"/>
  <c r="AM231" i="13"/>
  <c r="AL231" i="13"/>
  <c r="AJ231" i="13"/>
  <c r="AP26" i="1"/>
  <c r="AO26" i="1"/>
  <c r="AN26" i="1"/>
  <c r="AN25" i="1" s="1"/>
  <c r="AM26" i="1"/>
  <c r="AM25" i="1" s="1"/>
  <c r="AK26" i="1"/>
  <c r="AK25" i="1" s="1"/>
  <c r="AJ26" i="1"/>
  <c r="AI26" i="1"/>
  <c r="AH26" i="1"/>
  <c r="AF26" i="1"/>
  <c r="AE26" i="1"/>
  <c r="AD26" i="1"/>
  <c r="AD25" i="1" s="1"/>
  <c r="AC26" i="1"/>
  <c r="AC25" i="1" s="1"/>
  <c r="AA26" i="1"/>
  <c r="Z26" i="1"/>
  <c r="Y26" i="1"/>
  <c r="X26" i="1"/>
  <c r="AP25" i="1"/>
  <c r="AO25" i="1"/>
  <c r="AJ25" i="1"/>
  <c r="AI25" i="1"/>
  <c r="AH25" i="1"/>
  <c r="AF25" i="1"/>
  <c r="AE25" i="1"/>
  <c r="AA25" i="1"/>
  <c r="Z25" i="1"/>
  <c r="Y25" i="1"/>
  <c r="X25" i="1"/>
  <c r="W107" i="1"/>
  <c r="T107" i="1" s="1"/>
  <c r="V105" i="1"/>
  <c r="W100" i="1"/>
  <c r="W97" i="1" s="1"/>
  <c r="T100" i="1"/>
  <c r="V98" i="1"/>
  <c r="W93" i="1"/>
  <c r="T93" i="1"/>
  <c r="V91" i="1"/>
  <c r="W90" i="1"/>
  <c r="W86" i="1"/>
  <c r="T86" i="1"/>
  <c r="V84" i="1"/>
  <c r="W83" i="1"/>
  <c r="W79" i="1"/>
  <c r="T79" i="1"/>
  <c r="V77" i="1"/>
  <c r="T77" i="1" s="1"/>
  <c r="T76" i="1" s="1"/>
  <c r="W76" i="1"/>
  <c r="AB76" i="1" s="1"/>
  <c r="T73" i="1"/>
  <c r="T71" i="1"/>
  <c r="V71" i="1" s="1"/>
  <c r="T70" i="1"/>
  <c r="V70" i="1" s="1"/>
  <c r="T69" i="1"/>
  <c r="V69" i="1" s="1"/>
  <c r="T68" i="1"/>
  <c r="V68" i="1" s="1"/>
  <c r="T60" i="1"/>
  <c r="T52" i="1"/>
  <c r="V52" i="1" s="1"/>
  <c r="T51" i="1"/>
  <c r="T49" i="1"/>
  <c r="V49" i="1" s="1"/>
  <c r="T48" i="1"/>
  <c r="V48" i="1" s="1"/>
  <c r="T47" i="1"/>
  <c r="T46" i="1"/>
  <c r="V46" i="1" s="1"/>
  <c r="T45" i="1"/>
  <c r="T43" i="1"/>
  <c r="T42" i="1"/>
  <c r="T27" i="1"/>
  <c r="W53" i="1"/>
  <c r="V51" i="1"/>
  <c r="V73" i="1"/>
  <c r="W72" i="1"/>
  <c r="W47" i="1"/>
  <c r="V45" i="1"/>
  <c r="V43" i="1"/>
  <c r="V42" i="1"/>
  <c r="W40" i="1"/>
  <c r="V40" i="1"/>
  <c r="T40" i="1" s="1"/>
  <c r="W35" i="1"/>
  <c r="V33" i="1"/>
  <c r="T33" i="1" s="1"/>
  <c r="W32" i="1"/>
  <c r="W30" i="1"/>
  <c r="T30" i="1" s="1"/>
  <c r="W29" i="1"/>
  <c r="AB29" i="1" s="1"/>
  <c r="W28" i="1"/>
  <c r="T28" i="1" s="1"/>
  <c r="V27" i="1"/>
  <c r="V21" i="1"/>
  <c r="V20" i="1"/>
  <c r="V19" i="1"/>
  <c r="V18" i="1"/>
  <c r="U18" i="1" s="1"/>
  <c r="O166" i="1"/>
  <c r="AV231" i="13" l="1"/>
  <c r="AW105" i="13"/>
  <c r="AT231" i="13"/>
  <c r="AU231" i="13"/>
  <c r="AK106" i="13"/>
  <c r="AV106" i="13" s="1"/>
  <c r="AJ106" i="13"/>
  <c r="AU106" i="13" s="1"/>
  <c r="AI106" i="13"/>
  <c r="AT106" i="13" s="1"/>
  <c r="A107" i="13"/>
  <c r="AM106" i="13"/>
  <c r="AL106" i="13"/>
  <c r="AW106" i="13" s="1"/>
  <c r="AW231" i="13"/>
  <c r="AT105" i="13"/>
  <c r="AU105" i="13"/>
  <c r="AK232" i="13"/>
  <c r="AV232" i="13" s="1"/>
  <c r="AI232" i="13"/>
  <c r="AT232" i="13" s="1"/>
  <c r="A233" i="13"/>
  <c r="AM232" i="13"/>
  <c r="AL232" i="13"/>
  <c r="AW232" i="13" s="1"/>
  <c r="AJ232" i="13"/>
  <c r="AU232" i="13" s="1"/>
  <c r="AV105" i="13"/>
  <c r="W36" i="1"/>
  <c r="W26" i="1"/>
  <c r="T29" i="1"/>
  <c r="T26" i="1" s="1"/>
  <c r="W58" i="1"/>
  <c r="V35" i="1"/>
  <c r="T35" i="1" s="1"/>
  <c r="U84" i="1"/>
  <c r="T84" i="1"/>
  <c r="T83" i="1" s="1"/>
  <c r="V83" i="1" s="1"/>
  <c r="V86" i="1" s="1"/>
  <c r="U86" i="1" s="1"/>
  <c r="U77" i="1"/>
  <c r="W104" i="1"/>
  <c r="W75" i="1" s="1"/>
  <c r="W74" i="1" s="1"/>
  <c r="U91" i="1"/>
  <c r="T91" i="1"/>
  <c r="T90" i="1" s="1"/>
  <c r="V90" i="1" s="1"/>
  <c r="V93" i="1" s="1"/>
  <c r="U93" i="1" s="1"/>
  <c r="U105" i="1"/>
  <c r="U104" i="1" s="1"/>
  <c r="T105" i="1"/>
  <c r="T104" i="1" s="1"/>
  <c r="T75" i="1" s="1"/>
  <c r="T74" i="1" s="1"/>
  <c r="U98" i="1"/>
  <c r="T98" i="1"/>
  <c r="T97" i="1" s="1"/>
  <c r="V97" i="1" s="1"/>
  <c r="V100" i="1" s="1"/>
  <c r="U100" i="1" s="1"/>
  <c r="V76" i="1"/>
  <c r="V79" i="1" s="1"/>
  <c r="U79" i="1" s="1"/>
  <c r="T44" i="1"/>
  <c r="T72" i="1"/>
  <c r="W50" i="1"/>
  <c r="T53" i="1"/>
  <c r="V53" i="1" s="1"/>
  <c r="V50" i="1" s="1"/>
  <c r="V72" i="1"/>
  <c r="V60" i="1"/>
  <c r="V47" i="1"/>
  <c r="V28" i="1"/>
  <c r="V30" i="1"/>
  <c r="T32" i="1"/>
  <c r="AK107" i="13" l="1"/>
  <c r="AV107" i="13" s="1"/>
  <c r="AJ107" i="13"/>
  <c r="AU107" i="13" s="1"/>
  <c r="AI107" i="13"/>
  <c r="AT107" i="13" s="1"/>
  <c r="A108" i="13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M107" i="13"/>
  <c r="AM104" i="13" s="1"/>
  <c r="AL107" i="13"/>
  <c r="AW107" i="13" s="1"/>
  <c r="AK233" i="13"/>
  <c r="AV233" i="13" s="1"/>
  <c r="AI233" i="13"/>
  <c r="AT233" i="13" s="1"/>
  <c r="A234" i="13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M233" i="13"/>
  <c r="AM230" i="13" s="1"/>
  <c r="AL233" i="13"/>
  <c r="AW233" i="13" s="1"/>
  <c r="AJ233" i="13"/>
  <c r="AU233" i="13" s="1"/>
  <c r="V29" i="1"/>
  <c r="V26" i="1"/>
  <c r="U97" i="1"/>
  <c r="V104" i="1"/>
  <c r="V75" i="1" s="1"/>
  <c r="V74" i="1" s="1"/>
  <c r="U90" i="1"/>
  <c r="U75" i="1" s="1"/>
  <c r="U76" i="1"/>
  <c r="U83" i="1"/>
  <c r="T58" i="1"/>
  <c r="T50" i="1"/>
  <c r="T34" i="1"/>
  <c r="T36" i="1"/>
  <c r="V44" i="1"/>
  <c r="V32" i="1"/>
  <c r="AJ230" i="13" l="1"/>
  <c r="AU230" i="13" s="1"/>
  <c r="AI104" i="13"/>
  <c r="AT104" i="13" s="1"/>
  <c r="AL230" i="13"/>
  <c r="AW230" i="13" s="1"/>
  <c r="AK230" i="13"/>
  <c r="AV230" i="13" s="1"/>
  <c r="AJ104" i="13"/>
  <c r="AU104" i="13" s="1"/>
  <c r="AL104" i="13"/>
  <c r="AW104" i="13" s="1"/>
  <c r="AK104" i="13"/>
  <c r="AV104" i="13" s="1"/>
  <c r="AI230" i="13"/>
  <c r="AT230" i="13" s="1"/>
  <c r="AJ255" i="13"/>
  <c r="A256" i="13"/>
  <c r="A257" i="13" s="1"/>
  <c r="A258" i="13" s="1"/>
  <c r="A259" i="13" s="1"/>
  <c r="A260" i="13" s="1"/>
  <c r="A261" i="13" s="1"/>
  <c r="A262" i="13" s="1"/>
  <c r="A263" i="13" s="1"/>
  <c r="AM255" i="13"/>
  <c r="AL255" i="13"/>
  <c r="AK255" i="13"/>
  <c r="AI255" i="13"/>
  <c r="AJ129" i="13"/>
  <c r="AI129" i="13"/>
  <c r="A130" i="13"/>
  <c r="A131" i="13" s="1"/>
  <c r="A132" i="13" s="1"/>
  <c r="A133" i="13" s="1"/>
  <c r="A134" i="13" s="1"/>
  <c r="A135" i="13" s="1"/>
  <c r="A136" i="13" s="1"/>
  <c r="A137" i="13" s="1"/>
  <c r="AM129" i="13"/>
  <c r="AL129" i="13"/>
  <c r="AK129" i="13"/>
  <c r="V34" i="1"/>
  <c r="V36" i="1"/>
  <c r="AJ135" i="13" l="1"/>
  <c r="AJ136" i="13"/>
  <c r="AU136" i="13" s="1"/>
  <c r="AJ130" i="13"/>
  <c r="AJ132" i="13"/>
  <c r="AJ133" i="13" s="1"/>
  <c r="AI261" i="13"/>
  <c r="AI256" i="13"/>
  <c r="AI258" i="13" s="1"/>
  <c r="AI259" i="13" s="1"/>
  <c r="AI262" i="13"/>
  <c r="AI135" i="13"/>
  <c r="AI136" i="13"/>
  <c r="AI130" i="13"/>
  <c r="AI132" i="13"/>
  <c r="AI133" i="13" s="1"/>
  <c r="AK261" i="13"/>
  <c r="AK262" i="13"/>
  <c r="AV262" i="13" s="1"/>
  <c r="AK256" i="13"/>
  <c r="AK258" i="13" s="1"/>
  <c r="AK259" i="13" s="1"/>
  <c r="AK136" i="13"/>
  <c r="AV136" i="13" s="1"/>
  <c r="AK130" i="13"/>
  <c r="AK132" i="13"/>
  <c r="AK133" i="13" s="1"/>
  <c r="AK135" i="13"/>
  <c r="AL256" i="13"/>
  <c r="AL258" i="13" s="1"/>
  <c r="AL259" i="13" s="1"/>
  <c r="AL261" i="13"/>
  <c r="AL262" i="13"/>
  <c r="AW262" i="13" s="1"/>
  <c r="AL136" i="13"/>
  <c r="AW136" i="13" s="1"/>
  <c r="AL130" i="13"/>
  <c r="AL132" i="13"/>
  <c r="AL133" i="13" s="1"/>
  <c r="AL135" i="13"/>
  <c r="AM262" i="13"/>
  <c r="AM261" i="13"/>
  <c r="AM256" i="13"/>
  <c r="AM258" i="13" s="1"/>
  <c r="AM259" i="13" s="1"/>
  <c r="AM136" i="13"/>
  <c r="AM135" i="13"/>
  <c r="AM130" i="13"/>
  <c r="AM132" i="13" s="1"/>
  <c r="AM133" i="13" s="1"/>
  <c r="AM263" i="13"/>
  <c r="AK263" i="13"/>
  <c r="AJ263" i="13"/>
  <c r="AI263" i="13"/>
  <c r="A264" i="13"/>
  <c r="A265" i="13" s="1"/>
  <c r="A266" i="13" s="1"/>
  <c r="A267" i="13" s="1"/>
  <c r="AL263" i="13"/>
  <c r="AL137" i="13"/>
  <c r="AK137" i="13"/>
  <c r="AJ137" i="13"/>
  <c r="AI137" i="13"/>
  <c r="A138" i="13"/>
  <c r="A139" i="13" s="1"/>
  <c r="A140" i="13" s="1"/>
  <c r="A141" i="13" s="1"/>
  <c r="AM137" i="13"/>
  <c r="AJ256" i="13"/>
  <c r="AJ258" i="13" s="1"/>
  <c r="AJ259" i="13" s="1"/>
  <c r="AJ262" i="13"/>
  <c r="AU262" i="13" s="1"/>
  <c r="AJ261" i="13"/>
  <c r="G78" i="4"/>
  <c r="G41" i="4"/>
  <c r="G40" i="4"/>
  <c r="AM138" i="13" l="1"/>
  <c r="AM139" i="13"/>
  <c r="AM141" i="13"/>
  <c r="AM140" i="13"/>
  <c r="AK267" i="13"/>
  <c r="AK264" i="13"/>
  <c r="AK266" i="13" s="1"/>
  <c r="AK265" i="13"/>
  <c r="AI265" i="13"/>
  <c r="AI267" i="13"/>
  <c r="AI264" i="13"/>
  <c r="AI266" i="13" s="1"/>
  <c r="AM267" i="13"/>
  <c r="AM264" i="13"/>
  <c r="AM265" i="13"/>
  <c r="AM266" i="13"/>
  <c r="AS262" i="13"/>
  <c r="AT262" i="13"/>
  <c r="AK141" i="13"/>
  <c r="AK138" i="13"/>
  <c r="AK140" i="13" s="1"/>
  <c r="AK139" i="13"/>
  <c r="AI141" i="13"/>
  <c r="AI139" i="13"/>
  <c r="AI138" i="13"/>
  <c r="AI140" i="13" s="1"/>
  <c r="AL141" i="13"/>
  <c r="AL138" i="13"/>
  <c r="AL139" i="13"/>
  <c r="AL140" i="13"/>
  <c r="AJ267" i="13"/>
  <c r="AJ264" i="13"/>
  <c r="AJ266" i="13" s="1"/>
  <c r="AJ265" i="13"/>
  <c r="AL264" i="13"/>
  <c r="AL266" i="13" s="1"/>
  <c r="AL265" i="13"/>
  <c r="AL267" i="13"/>
  <c r="AT136" i="13"/>
  <c r="AS136" i="13"/>
  <c r="AJ141" i="13"/>
  <c r="AJ138" i="13"/>
  <c r="AJ140" i="13" s="1"/>
  <c r="AJ139" i="13"/>
  <c r="I83" i="4"/>
  <c r="I82" i="4"/>
  <c r="I81" i="4"/>
  <c r="G83" i="4"/>
  <c r="G82" i="4"/>
  <c r="G81" i="4"/>
  <c r="I76" i="4" l="1"/>
  <c r="I75" i="4"/>
  <c r="I73" i="4"/>
  <c r="J50" i="4" l="1"/>
  <c r="K50" i="4"/>
  <c r="I50" i="4"/>
  <c r="J48" i="4"/>
  <c r="K48" i="4"/>
  <c r="L48" i="4"/>
  <c r="M48" i="4"/>
  <c r="I48" i="4"/>
  <c r="J47" i="4"/>
  <c r="K47" i="4"/>
  <c r="I47" i="4"/>
  <c r="C36" i="4"/>
  <c r="D25" i="4"/>
  <c r="D24" i="4"/>
  <c r="B15" i="4"/>
  <c r="B16" i="4" s="1"/>
  <c r="B18" i="4" s="1"/>
  <c r="B20" i="4" s="1"/>
  <c r="B17" i="4" l="1"/>
  <c r="I62" i="4"/>
  <c r="C60" i="4"/>
  <c r="C57" i="4"/>
  <c r="BB21" i="1"/>
  <c r="BC21" i="1" s="1"/>
  <c r="Y150" i="1"/>
  <c r="Y148" i="1"/>
  <c r="J63" i="4" l="1"/>
  <c r="C22" i="4"/>
  <c r="J65" i="4"/>
  <c r="I58" i="4"/>
  <c r="I65" i="4"/>
  <c r="AZ24" i="1"/>
  <c r="B22" i="4" l="1"/>
  <c r="B23" i="4" s="1"/>
  <c r="B24" i="4" s="1"/>
  <c r="B26" i="4"/>
  <c r="B27" i="4" s="1"/>
  <c r="B28" i="4" s="1"/>
  <c r="J66" i="4"/>
  <c r="J58" i="4"/>
  <c r="J59" i="4" s="1"/>
  <c r="C46" i="4"/>
  <c r="J62" i="4"/>
  <c r="K63" i="4" s="1"/>
  <c r="C47" i="4"/>
  <c r="K65" i="4"/>
  <c r="K60" i="4"/>
  <c r="L61" i="4" s="1"/>
  <c r="K58" i="4"/>
  <c r="B25" i="4" l="1"/>
  <c r="J60" i="4"/>
  <c r="K61" i="4" s="1"/>
  <c r="I60" i="4"/>
  <c r="J61" i="4" s="1"/>
  <c r="K59" i="4"/>
  <c r="K66" i="4"/>
  <c r="L60" i="4"/>
  <c r="M61" i="4" s="1"/>
  <c r="B52" i="4"/>
  <c r="B48" i="4"/>
  <c r="B47" i="4"/>
  <c r="B50" i="4"/>
  <c r="B60" i="4"/>
  <c r="B61" i="4" s="1"/>
  <c r="K62" i="4"/>
  <c r="L63" i="4" s="1"/>
  <c r="R198" i="1"/>
  <c r="I61" i="4" l="1"/>
  <c r="L68" i="4"/>
  <c r="B62" i="4"/>
  <c r="B63" i="4" s="1"/>
  <c r="L58" i="4"/>
  <c r="B65" i="4"/>
  <c r="B66" i="4" s="1"/>
  <c r="B49" i="4"/>
  <c r="B64" i="4" s="1"/>
  <c r="B51" i="4"/>
  <c r="B67" i="4" s="1"/>
  <c r="L65" i="4"/>
  <c r="B68" i="4"/>
  <c r="B69" i="4" s="1"/>
  <c r="L62" i="4"/>
  <c r="M63" i="4" s="1"/>
  <c r="B58" i="4"/>
  <c r="B59" i="4" s="1"/>
  <c r="B46" i="4"/>
  <c r="B57" i="4" s="1"/>
  <c r="M65" i="4"/>
  <c r="M62" i="4"/>
  <c r="M60" i="4"/>
  <c r="D97" i="2"/>
  <c r="D96" i="2" s="1"/>
  <c r="D94" i="2"/>
  <c r="D93" i="2" s="1"/>
  <c r="D91" i="2"/>
  <c r="D90" i="2" s="1"/>
  <c r="D88" i="2"/>
  <c r="D87" i="2" s="1"/>
  <c r="D85" i="2"/>
  <c r="D82" i="2"/>
  <c r="D81" i="2" s="1"/>
  <c r="C82" i="2"/>
  <c r="C85" i="2" s="1"/>
  <c r="C88" i="2" s="1"/>
  <c r="C91" i="2" s="1"/>
  <c r="C94" i="2" s="1"/>
  <c r="C97" i="2" s="1"/>
  <c r="C81" i="2"/>
  <c r="C84" i="2" s="1"/>
  <c r="C87" i="2" s="1"/>
  <c r="C90" i="2" s="1"/>
  <c r="C93" i="2" s="1"/>
  <c r="C96" i="2" s="1"/>
  <c r="D79" i="2"/>
  <c r="D75" i="2"/>
  <c r="J47" i="2"/>
  <c r="J48" i="2" s="1"/>
  <c r="J46" i="2"/>
  <c r="J45" i="2"/>
  <c r="J42" i="2"/>
  <c r="J41" i="2"/>
  <c r="I38" i="2"/>
  <c r="G38" i="2"/>
  <c r="I36" i="2"/>
  <c r="G36" i="2"/>
  <c r="J34" i="2"/>
  <c r="J32" i="2"/>
  <c r="J30" i="2"/>
  <c r="J38" i="2" l="1"/>
  <c r="E91" i="2"/>
  <c r="M69" i="4"/>
  <c r="M66" i="4"/>
  <c r="L66" i="4"/>
  <c r="M59" i="4"/>
  <c r="L59" i="4"/>
  <c r="M58" i="4"/>
  <c r="J43" i="2"/>
  <c r="J36" i="2"/>
  <c r="E97" i="2"/>
  <c r="D84" i="2"/>
  <c r="E94" i="2"/>
  <c r="M68" i="4" l="1"/>
  <c r="H197" i="1"/>
  <c r="I196" i="1"/>
  <c r="R196" i="1"/>
  <c r="Q196" i="1"/>
  <c r="P196" i="1"/>
  <c r="N196" i="1"/>
  <c r="J196" i="1"/>
  <c r="H196" i="1"/>
  <c r="O24" i="1"/>
  <c r="O23" i="1"/>
  <c r="O21" i="1"/>
  <c r="O20" i="1"/>
  <c r="O19" i="1"/>
  <c r="O18" i="1"/>
  <c r="V24" i="1"/>
  <c r="V23" i="1"/>
  <c r="T23" i="1" s="1"/>
  <c r="V171" i="1"/>
  <c r="AB28" i="1"/>
  <c r="AB26" i="1" s="1"/>
  <c r="U19" i="1"/>
  <c r="T21" i="1"/>
  <c r="L19" i="1"/>
  <c r="K19" i="1"/>
  <c r="L24" i="1"/>
  <c r="K24" i="1"/>
  <c r="L23" i="1"/>
  <c r="K23" i="1"/>
  <c r="L22" i="1"/>
  <c r="K22" i="1"/>
  <c r="L21" i="1"/>
  <c r="K21" i="1"/>
  <c r="L20" i="1"/>
  <c r="K20" i="1"/>
  <c r="L18" i="1"/>
  <c r="K18" i="1"/>
  <c r="L17" i="1"/>
  <c r="K17" i="1"/>
  <c r="T18" i="1" l="1"/>
  <c r="W18" i="1" s="1"/>
  <c r="U23" i="1"/>
  <c r="U21" i="1"/>
  <c r="T19" i="1"/>
  <c r="W19" i="1" s="1"/>
  <c r="O17" i="1"/>
  <c r="T24" i="1"/>
  <c r="U24" i="1"/>
  <c r="L25" i="1" l="1"/>
  <c r="K25" i="1"/>
  <c r="K74" i="1"/>
  <c r="W24" i="1"/>
  <c r="AB24" i="1" s="1"/>
  <c r="AG24" i="1" s="1"/>
  <c r="AL24" i="1" s="1"/>
  <c r="AQ24" i="1" s="1"/>
  <c r="W23" i="1"/>
  <c r="AB23" i="1" s="1"/>
  <c r="AG23" i="1" s="1"/>
  <c r="AL23" i="1" s="1"/>
  <c r="AQ23" i="1" s="1"/>
  <c r="W21" i="1"/>
  <c r="AB18" i="1"/>
  <c r="AG18" i="1" s="1"/>
  <c r="AL18" i="1" s="1"/>
  <c r="AQ18" i="1" s="1"/>
  <c r="AB21" i="1" l="1"/>
  <c r="AG21" i="1" s="1"/>
  <c r="AL21" i="1" s="1"/>
  <c r="AQ21" i="1" s="1"/>
  <c r="I27" i="4"/>
  <c r="U20" i="1"/>
  <c r="T20" i="1"/>
  <c r="M27" i="4" l="1"/>
  <c r="L27" i="4"/>
  <c r="K27" i="4"/>
  <c r="J27" i="4"/>
  <c r="AB19" i="1"/>
  <c r="AG19" i="1" s="1"/>
  <c r="AL19" i="1" s="1"/>
  <c r="AQ19" i="1" s="1"/>
  <c r="I26" i="4"/>
  <c r="W20" i="1"/>
  <c r="T17" i="1"/>
  <c r="U17" i="1"/>
  <c r="U22" i="1" s="1"/>
  <c r="AB57" i="1"/>
  <c r="AG57" i="1" s="1"/>
  <c r="AL57" i="1" s="1"/>
  <c r="AQ57" i="1" s="1"/>
  <c r="T22" i="1" l="1"/>
  <c r="W17" i="1"/>
  <c r="U32" i="1"/>
  <c r="U36" i="1"/>
  <c r="U166" i="1"/>
  <c r="W166" i="1" s="1"/>
  <c r="U58" i="1"/>
  <c r="U57" i="1"/>
  <c r="U69" i="1"/>
  <c r="U53" i="1"/>
  <c r="U71" i="1"/>
  <c r="U49" i="1"/>
  <c r="U73" i="1"/>
  <c r="U72" i="1" s="1"/>
  <c r="U51" i="1"/>
  <c r="U67" i="1"/>
  <c r="U43" i="1"/>
  <c r="U60" i="1"/>
  <c r="U46" i="1"/>
  <c r="U47" i="1"/>
  <c r="U42" i="1"/>
  <c r="U48" i="1"/>
  <c r="U30" i="1"/>
  <c r="U68" i="1"/>
  <c r="U70" i="1"/>
  <c r="U45" i="1"/>
  <c r="U28" i="1"/>
  <c r="U27" i="1"/>
  <c r="U52" i="1"/>
  <c r="U29" i="1"/>
  <c r="AB20" i="1"/>
  <c r="AG20" i="1" s="1"/>
  <c r="AL20" i="1" s="1"/>
  <c r="AQ20" i="1" s="1"/>
  <c r="I28" i="4"/>
  <c r="I25" i="4" s="1"/>
  <c r="I24" i="4" s="1"/>
  <c r="L26" i="4"/>
  <c r="K26" i="4"/>
  <c r="M26" i="4"/>
  <c r="J26" i="4"/>
  <c r="T145" i="1"/>
  <c r="T116" i="1"/>
  <c r="T114" i="1"/>
  <c r="T131" i="1"/>
  <c r="T126" i="1"/>
  <c r="T127" i="1"/>
  <c r="T147" i="1"/>
  <c r="T149" i="1"/>
  <c r="T140" i="1"/>
  <c r="T151" i="1"/>
  <c r="T128" i="1"/>
  <c r="T118" i="1"/>
  <c r="T130" i="1"/>
  <c r="T113" i="1"/>
  <c r="T115" i="1"/>
  <c r="T117" i="1"/>
  <c r="T146" i="1"/>
  <c r="T152" i="1"/>
  <c r="T129" i="1"/>
  <c r="AB35" i="1"/>
  <c r="AG35" i="1" s="1"/>
  <c r="AL35" i="1" s="1"/>
  <c r="AQ35" i="1" s="1"/>
  <c r="W38" i="1" l="1"/>
  <c r="AB38" i="1" s="1"/>
  <c r="AG38" i="1" s="1"/>
  <c r="AL38" i="1" s="1"/>
  <c r="AQ38" i="1" s="1"/>
  <c r="W22" i="1"/>
  <c r="U50" i="1"/>
  <c r="U26" i="1"/>
  <c r="U44" i="1"/>
  <c r="J28" i="4"/>
  <c r="M28" i="4"/>
  <c r="L28" i="4"/>
  <c r="K28" i="4"/>
  <c r="L25" i="4"/>
  <c r="L24" i="4" s="1"/>
  <c r="J25" i="4"/>
  <c r="J24" i="4" s="1"/>
  <c r="M25" i="4"/>
  <c r="M24" i="4" s="1"/>
  <c r="K25" i="4"/>
  <c r="K24" i="4" s="1"/>
  <c r="AB17" i="1"/>
  <c r="T144" i="1"/>
  <c r="W37" i="1" l="1"/>
  <c r="V38" i="1"/>
  <c r="T38" i="1" s="1"/>
  <c r="AG17" i="1"/>
  <c r="AB22" i="1"/>
  <c r="K76" i="1"/>
  <c r="K77" i="1"/>
  <c r="T37" i="1" l="1"/>
  <c r="V37" i="1" s="1"/>
  <c r="W41" i="1"/>
  <c r="W31" i="1" s="1"/>
  <c r="AL17" i="1"/>
  <c r="AG22" i="1"/>
  <c r="K79" i="1"/>
  <c r="AX24" i="1"/>
  <c r="AY24" i="1" s="1"/>
  <c r="I18" i="11" l="1"/>
  <c r="I18" i="4"/>
  <c r="V41" i="1"/>
  <c r="U41" i="1" s="1"/>
  <c r="V39" i="1"/>
  <c r="U37" i="1"/>
  <c r="U31" i="1" s="1"/>
  <c r="T41" i="1"/>
  <c r="T31" i="1" s="1"/>
  <c r="T39" i="1"/>
  <c r="AQ17" i="1"/>
  <c r="AQ22" i="1" s="1"/>
  <c r="AL22" i="1"/>
  <c r="BA24" i="1"/>
  <c r="AZ25" i="1"/>
  <c r="O25" i="1" s="1"/>
  <c r="V31" i="1" l="1"/>
  <c r="Q181" i="1"/>
  <c r="AB51" i="1" l="1"/>
  <c r="O128" i="1" l="1"/>
  <c r="W152" i="1"/>
  <c r="O150" i="1"/>
  <c r="O141" i="1"/>
  <c r="O144" i="1"/>
  <c r="O132" i="1"/>
  <c r="O112" i="1"/>
  <c r="I197" i="1" l="1"/>
  <c r="J197" i="1" l="1"/>
  <c r="R197" i="1" l="1"/>
  <c r="Q197" i="1"/>
  <c r="P197" i="1"/>
  <c r="N197" i="1"/>
  <c r="F173" i="1"/>
  <c r="R172" i="1"/>
  <c r="R173" i="1" s="1"/>
  <c r="R175" i="1" s="1"/>
  <c r="Q172" i="1"/>
  <c r="Q173" i="1" s="1"/>
  <c r="N172" i="1"/>
  <c r="J172" i="1"/>
  <c r="J173" i="1" s="1"/>
  <c r="I172" i="1"/>
  <c r="I173" i="1" s="1"/>
  <c r="H172" i="1"/>
  <c r="H173" i="1" s="1"/>
  <c r="W151" i="1"/>
  <c r="AB151" i="1" s="1"/>
  <c r="W149" i="1"/>
  <c r="AB149" i="1" s="1"/>
  <c r="AB147" i="1"/>
  <c r="AG147" i="1" s="1"/>
  <c r="AB146" i="1"/>
  <c r="AB145" i="1"/>
  <c r="W144" i="1"/>
  <c r="W143" i="1"/>
  <c r="W142" i="1"/>
  <c r="AB140" i="1"/>
  <c r="AG140" i="1" s="1"/>
  <c r="AL140" i="1" s="1"/>
  <c r="AQ140" i="1" s="1"/>
  <c r="AB139" i="1"/>
  <c r="V139" i="1"/>
  <c r="AB138" i="1"/>
  <c r="AG138" i="1" s="1"/>
  <c r="W137" i="1"/>
  <c r="W136" i="1"/>
  <c r="W135" i="1"/>
  <c r="AB135" i="1" s="1"/>
  <c r="AG135" i="1" s="1"/>
  <c r="AL135" i="1" s="1"/>
  <c r="W134" i="1"/>
  <c r="AB134" i="1" s="1"/>
  <c r="AG134" i="1" s="1"/>
  <c r="AL134" i="1" s="1"/>
  <c r="W133" i="1"/>
  <c r="AB133" i="1" s="1"/>
  <c r="W131" i="1"/>
  <c r="AB131" i="1" s="1"/>
  <c r="W130" i="1"/>
  <c r="AB130" i="1" s="1"/>
  <c r="AG130" i="1" s="1"/>
  <c r="W129" i="1"/>
  <c r="AB129" i="1" s="1"/>
  <c r="W127" i="1"/>
  <c r="W126" i="1"/>
  <c r="W123" i="1"/>
  <c r="AB123" i="1" s="1"/>
  <c r="AG123" i="1" s="1"/>
  <c r="W122" i="1"/>
  <c r="AB122" i="1" s="1"/>
  <c r="AG122" i="1" s="1"/>
  <c r="W121" i="1"/>
  <c r="AB121" i="1" s="1"/>
  <c r="W120" i="1"/>
  <c r="AB120" i="1" s="1"/>
  <c r="AG120" i="1" s="1"/>
  <c r="W119" i="1"/>
  <c r="AB119" i="1" s="1"/>
  <c r="W118" i="1"/>
  <c r="W117" i="1"/>
  <c r="AB117" i="1" s="1"/>
  <c r="AG117" i="1" s="1"/>
  <c r="AL117" i="1" s="1"/>
  <c r="W116" i="1"/>
  <c r="W115" i="1"/>
  <c r="AB115" i="1" s="1"/>
  <c r="W114" i="1"/>
  <c r="AB114" i="1" s="1"/>
  <c r="AG114" i="1" s="1"/>
  <c r="AL114" i="1" s="1"/>
  <c r="W113" i="1"/>
  <c r="K106" i="1"/>
  <c r="K105" i="1"/>
  <c r="K104" i="1"/>
  <c r="K99" i="1"/>
  <c r="K98" i="1"/>
  <c r="K97" i="1"/>
  <c r="K92" i="1"/>
  <c r="K91" i="1"/>
  <c r="K90" i="1"/>
  <c r="K89" i="1"/>
  <c r="K85" i="1"/>
  <c r="K84" i="1"/>
  <c r="K83" i="1"/>
  <c r="K78" i="1"/>
  <c r="AB77" i="1"/>
  <c r="AB73" i="1"/>
  <c r="AG73" i="1" s="1"/>
  <c r="AB69" i="1"/>
  <c r="AG69" i="1" s="1"/>
  <c r="AL69" i="1" s="1"/>
  <c r="AQ69" i="1" s="1"/>
  <c r="AB60" i="1"/>
  <c r="AB55" i="1"/>
  <c r="AG55" i="1" s="1"/>
  <c r="AL55" i="1" s="1"/>
  <c r="AQ55" i="1" s="1"/>
  <c r="AB52" i="1"/>
  <c r="AB49" i="1"/>
  <c r="AG49" i="1" s="1"/>
  <c r="AB46" i="1"/>
  <c r="AB45" i="1"/>
  <c r="AB43" i="1"/>
  <c r="AG43" i="1" s="1"/>
  <c r="AL43" i="1" s="1"/>
  <c r="AQ43" i="1" s="1"/>
  <c r="AB42" i="1"/>
  <c r="AG42" i="1" s="1"/>
  <c r="AO14" i="1"/>
  <c r="AN14" i="1"/>
  <c r="P8" i="1"/>
  <c r="N173" i="1" l="1"/>
  <c r="J72" i="4"/>
  <c r="I20" i="4"/>
  <c r="AB48" i="1"/>
  <c r="AG48" i="1" s="1"/>
  <c r="AG191" i="1"/>
  <c r="AG190" i="1" s="1"/>
  <c r="AB191" i="1"/>
  <c r="AB190" i="1" s="1"/>
  <c r="K196" i="1"/>
  <c r="AB113" i="1"/>
  <c r="AG113" i="1" s="1"/>
  <c r="V113" i="1"/>
  <c r="AG29" i="1"/>
  <c r="AB33" i="1"/>
  <c r="AG33" i="1" s="1"/>
  <c r="AL33" i="1" s="1"/>
  <c r="AQ33" i="1" s="1"/>
  <c r="AB137" i="1"/>
  <c r="W141" i="1"/>
  <c r="AB98" i="1"/>
  <c r="AB83" i="1"/>
  <c r="AG83" i="1" s="1"/>
  <c r="AL83" i="1" s="1"/>
  <c r="AQ83" i="1" s="1"/>
  <c r="AB91" i="1"/>
  <c r="AG91" i="1" s="1"/>
  <c r="W148" i="1"/>
  <c r="AB142" i="1"/>
  <c r="AG142" i="1" s="1"/>
  <c r="AB105" i="1"/>
  <c r="AG105" i="1" s="1"/>
  <c r="W150" i="1"/>
  <c r="K93" i="1"/>
  <c r="K107" i="1"/>
  <c r="K86" i="1"/>
  <c r="K197" i="1"/>
  <c r="K75" i="1"/>
  <c r="K100" i="1"/>
  <c r="AB47" i="1"/>
  <c r="AB30" i="1"/>
  <c r="AB37" i="1"/>
  <c r="AB71" i="1"/>
  <c r="AG71" i="1" s="1"/>
  <c r="AL71" i="1" s="1"/>
  <c r="AQ71" i="1" s="1"/>
  <c r="AB67" i="1"/>
  <c r="AG67" i="1" s="1"/>
  <c r="AL67" i="1" s="1"/>
  <c r="AQ67" i="1" s="1"/>
  <c r="AB68" i="1"/>
  <c r="AG68" i="1" s="1"/>
  <c r="AB40" i="1"/>
  <c r="AG40" i="1" s="1"/>
  <c r="AL40" i="1" s="1"/>
  <c r="AQ40" i="1" s="1"/>
  <c r="AG45" i="1"/>
  <c r="AL42" i="1"/>
  <c r="AG77" i="1"/>
  <c r="AL49" i="1"/>
  <c r="AG52" i="1"/>
  <c r="AL73" i="1"/>
  <c r="AG60" i="1"/>
  <c r="AG72" i="1"/>
  <c r="AG46" i="1"/>
  <c r="AB84" i="1"/>
  <c r="AQ114" i="1"/>
  <c r="AG115" i="1"/>
  <c r="AG151" i="1"/>
  <c r="AB118" i="1"/>
  <c r="AB70" i="1"/>
  <c r="AG131" i="1"/>
  <c r="AB72" i="1"/>
  <c r="AG133" i="1"/>
  <c r="AQ134" i="1"/>
  <c r="AQ117" i="1"/>
  <c r="AL123" i="1"/>
  <c r="AB116" i="1"/>
  <c r="AG137" i="1"/>
  <c r="AL138" i="1"/>
  <c r="AG121" i="1"/>
  <c r="AB136" i="1"/>
  <c r="AB132" i="1" s="1"/>
  <c r="W132" i="1"/>
  <c r="K111" i="1"/>
  <c r="W112" i="1"/>
  <c r="AQ135" i="1"/>
  <c r="AB148" i="1"/>
  <c r="AG149" i="1"/>
  <c r="AL122" i="1"/>
  <c r="AG119" i="1"/>
  <c r="AL120" i="1"/>
  <c r="AG129" i="1"/>
  <c r="AL130" i="1"/>
  <c r="AG145" i="1"/>
  <c r="AL147" i="1"/>
  <c r="AB143" i="1"/>
  <c r="AG146" i="1"/>
  <c r="AB152" i="1"/>
  <c r="AG30" i="1" l="1"/>
  <c r="AB44" i="1"/>
  <c r="J20" i="4"/>
  <c r="AQ191" i="1"/>
  <c r="AQ190" i="1" s="1"/>
  <c r="V196" i="1"/>
  <c r="AG98" i="1"/>
  <c r="AB196" i="1"/>
  <c r="AB32" i="1"/>
  <c r="L101" i="1"/>
  <c r="L91" i="1"/>
  <c r="L102" i="1"/>
  <c r="O171" i="1"/>
  <c r="L85" i="1"/>
  <c r="AB54" i="1"/>
  <c r="L80" i="1"/>
  <c r="L110" i="1"/>
  <c r="L88" i="1"/>
  <c r="L103" i="1"/>
  <c r="L95" i="1"/>
  <c r="L92" i="1"/>
  <c r="L109" i="1"/>
  <c r="O125" i="1"/>
  <c r="O124" i="1" s="1"/>
  <c r="O111" i="1" s="1"/>
  <c r="L77" i="1"/>
  <c r="L98" i="1"/>
  <c r="L82" i="1"/>
  <c r="L108" i="1"/>
  <c r="L99" i="1"/>
  <c r="O169" i="1"/>
  <c r="L104" i="1"/>
  <c r="L83" i="1"/>
  <c r="L76" i="1"/>
  <c r="L89" i="1"/>
  <c r="L84" i="1"/>
  <c r="O161" i="1"/>
  <c r="L87" i="1"/>
  <c r="L94" i="1"/>
  <c r="L81" i="1"/>
  <c r="L105" i="1"/>
  <c r="O162" i="1"/>
  <c r="L78" i="1"/>
  <c r="L111" i="1"/>
  <c r="L74" i="1"/>
  <c r="L96" i="1"/>
  <c r="L90" i="1"/>
  <c r="L106" i="1"/>
  <c r="O168" i="1"/>
  <c r="O164" i="1"/>
  <c r="L75" i="1"/>
  <c r="L97" i="1"/>
  <c r="O163" i="1"/>
  <c r="O165" i="1"/>
  <c r="AG47" i="1"/>
  <c r="K110" i="1"/>
  <c r="AB41" i="1"/>
  <c r="P7" i="1"/>
  <c r="AQ130" i="1"/>
  <c r="AG136" i="1"/>
  <c r="AG132" i="1" s="1"/>
  <c r="AL133" i="1"/>
  <c r="AL98" i="1"/>
  <c r="AL46" i="1"/>
  <c r="AL72" i="1"/>
  <c r="AQ73" i="1"/>
  <c r="AL121" i="1"/>
  <c r="K172" i="1"/>
  <c r="K173" i="1" s="1"/>
  <c r="AL77" i="1"/>
  <c r="AL129" i="1"/>
  <c r="AL30" i="1"/>
  <c r="AL45" i="1"/>
  <c r="AG37" i="1"/>
  <c r="AB39" i="1"/>
  <c r="AL142" i="1"/>
  <c r="AG152" i="1"/>
  <c r="AG150" i="1" s="1"/>
  <c r="AL91" i="1"/>
  <c r="AQ122" i="1"/>
  <c r="AB104" i="1"/>
  <c r="AG104" i="1" s="1"/>
  <c r="AL104" i="1" s="1"/>
  <c r="AQ104" i="1" s="1"/>
  <c r="AQ123" i="1"/>
  <c r="AB150" i="1"/>
  <c r="AL146" i="1"/>
  <c r="AL131" i="1"/>
  <c r="AG118" i="1"/>
  <c r="AB86" i="1"/>
  <c r="AG84" i="1"/>
  <c r="AL113" i="1"/>
  <c r="AL68" i="1"/>
  <c r="AL52" i="1"/>
  <c r="AL29" i="1"/>
  <c r="AL48" i="1"/>
  <c r="AQ147" i="1"/>
  <c r="AG116" i="1"/>
  <c r="AL151" i="1"/>
  <c r="AB112" i="1"/>
  <c r="AG143" i="1"/>
  <c r="AQ120" i="1"/>
  <c r="AG148" i="1"/>
  <c r="AL149" i="1"/>
  <c r="AB90" i="1"/>
  <c r="AG90" i="1" s="1"/>
  <c r="AL90" i="1" s="1"/>
  <c r="AQ90" i="1" s="1"/>
  <c r="AL105" i="1"/>
  <c r="AL60" i="1"/>
  <c r="AQ49" i="1"/>
  <c r="AG28" i="1"/>
  <c r="AG26" i="1" s="1"/>
  <c r="AL137" i="1"/>
  <c r="AQ138" i="1"/>
  <c r="AB97" i="1"/>
  <c r="AG97" i="1" s="1"/>
  <c r="AL97" i="1" s="1"/>
  <c r="AQ97" i="1" s="1"/>
  <c r="AL191" i="1"/>
  <c r="AL190" i="1" s="1"/>
  <c r="AL145" i="1"/>
  <c r="AL119" i="1"/>
  <c r="AG70" i="1"/>
  <c r="AL115" i="1"/>
  <c r="AG51" i="1"/>
  <c r="AQ42" i="1"/>
  <c r="AQ30" i="1" l="1"/>
  <c r="O154" i="1"/>
  <c r="J52" i="4"/>
  <c r="F4" i="3"/>
  <c r="I52" i="4"/>
  <c r="J68" i="4"/>
  <c r="AG44" i="1"/>
  <c r="K20" i="4"/>
  <c r="M196" i="1"/>
  <c r="L196" i="1"/>
  <c r="AG196" i="1"/>
  <c r="AL47" i="1"/>
  <c r="L93" i="1"/>
  <c r="L79" i="1"/>
  <c r="L86" i="1"/>
  <c r="L107" i="1"/>
  <c r="AB58" i="1"/>
  <c r="AG54" i="1"/>
  <c r="AL54" i="1" s="1"/>
  <c r="AL58" i="1" s="1"/>
  <c r="AB56" i="1"/>
  <c r="L197" i="1"/>
  <c r="L100" i="1"/>
  <c r="AB197" i="1"/>
  <c r="AG112" i="1"/>
  <c r="AB79" i="1"/>
  <c r="AG76" i="1"/>
  <c r="AG197" i="1" s="1"/>
  <c r="AB100" i="1"/>
  <c r="AB93" i="1"/>
  <c r="AQ131" i="1"/>
  <c r="AB107" i="1"/>
  <c r="AQ133" i="1"/>
  <c r="AQ137" i="1"/>
  <c r="AL143" i="1"/>
  <c r="AQ29" i="1"/>
  <c r="AQ68" i="1"/>
  <c r="AL84" i="1"/>
  <c r="AL196" i="1" s="1"/>
  <c r="AQ45" i="1"/>
  <c r="AQ115" i="1"/>
  <c r="AL28" i="1"/>
  <c r="AL26" i="1" s="1"/>
  <c r="AQ151" i="1"/>
  <c r="AL152" i="1"/>
  <c r="AL150" i="1" s="1"/>
  <c r="AQ121" i="1"/>
  <c r="AL148" i="1"/>
  <c r="AQ149" i="1"/>
  <c r="P172" i="1"/>
  <c r="AQ52" i="1"/>
  <c r="AG86" i="1"/>
  <c r="AQ146" i="1"/>
  <c r="AQ142" i="1"/>
  <c r="AQ119" i="1"/>
  <c r="AQ105" i="1"/>
  <c r="AQ72" i="1"/>
  <c r="AQ98" i="1"/>
  <c r="AL51" i="1"/>
  <c r="AL116" i="1"/>
  <c r="AL118" i="1"/>
  <c r="AL37" i="1"/>
  <c r="AG41" i="1"/>
  <c r="AG39" i="1"/>
  <c r="AQ129" i="1"/>
  <c r="AQ77" i="1"/>
  <c r="AL136" i="1"/>
  <c r="AL132" i="1" s="1"/>
  <c r="AL70" i="1"/>
  <c r="AQ145" i="1"/>
  <c r="AQ60" i="1"/>
  <c r="AQ48" i="1"/>
  <c r="AQ113" i="1"/>
  <c r="AQ91" i="1"/>
  <c r="AB34" i="1"/>
  <c r="AG32" i="1"/>
  <c r="AB36" i="1"/>
  <c r="AB31" i="1" s="1"/>
  <c r="AQ46" i="1"/>
  <c r="AB75" i="1"/>
  <c r="AB74" i="1" s="1"/>
  <c r="J18" i="11" l="1"/>
  <c r="J18" i="4"/>
  <c r="AL44" i="1"/>
  <c r="L20" i="4"/>
  <c r="O105" i="1"/>
  <c r="O98" i="1"/>
  <c r="O84" i="1"/>
  <c r="O77" i="1"/>
  <c r="O91" i="1"/>
  <c r="AQ47" i="1"/>
  <c r="M20" i="4" s="1"/>
  <c r="K52" i="4"/>
  <c r="K68" i="4" s="1"/>
  <c r="L69" i="4" s="1"/>
  <c r="I35" i="4"/>
  <c r="I68" i="4"/>
  <c r="J69" i="4" s="1"/>
  <c r="P173" i="1"/>
  <c r="AG56" i="1"/>
  <c r="M197" i="1"/>
  <c r="AQ54" i="1"/>
  <c r="AQ58" i="1" s="1"/>
  <c r="AG58" i="1"/>
  <c r="AL112" i="1"/>
  <c r="AG79" i="1"/>
  <c r="AL76" i="1"/>
  <c r="AL197" i="1" s="1"/>
  <c r="F5" i="3"/>
  <c r="F6" i="3" s="1"/>
  <c r="F7" i="3" s="1"/>
  <c r="F8" i="3" s="1"/>
  <c r="AL56" i="1"/>
  <c r="L172" i="1"/>
  <c r="L173" i="1" s="1"/>
  <c r="AG75" i="1"/>
  <c r="AG34" i="1"/>
  <c r="AL32" i="1"/>
  <c r="AG36" i="1"/>
  <c r="AG31" i="1" s="1"/>
  <c r="AQ70" i="1"/>
  <c r="AL39" i="1"/>
  <c r="AQ37" i="1"/>
  <c r="M19" i="4" s="1"/>
  <c r="AL41" i="1"/>
  <c r="AQ118" i="1"/>
  <c r="AL86" i="1"/>
  <c r="AG107" i="1"/>
  <c r="AG93" i="1"/>
  <c r="AQ116" i="1"/>
  <c r="AQ28" i="1"/>
  <c r="AQ26" i="1" s="1"/>
  <c r="AQ84" i="1"/>
  <c r="AQ196" i="1" s="1"/>
  <c r="AQ51" i="1"/>
  <c r="AQ143" i="1"/>
  <c r="AQ136" i="1"/>
  <c r="AQ132" i="1" s="1"/>
  <c r="AQ148" i="1"/>
  <c r="AQ152" i="1"/>
  <c r="AQ150" i="1" s="1"/>
  <c r="AQ44" i="1"/>
  <c r="AG100" i="1"/>
  <c r="K18" i="11" l="1"/>
  <c r="K18" i="4"/>
  <c r="O76" i="1"/>
  <c r="O104" i="1"/>
  <c r="O83" i="1"/>
  <c r="O90" i="1"/>
  <c r="J35" i="4"/>
  <c r="K69" i="4"/>
  <c r="AB210" i="1"/>
  <c r="R177" i="1"/>
  <c r="P178" i="1"/>
  <c r="Q177" i="1"/>
  <c r="U161" i="1"/>
  <c r="U169" i="1"/>
  <c r="W169" i="1" s="1"/>
  <c r="U168" i="1"/>
  <c r="W168" i="1" s="1"/>
  <c r="U163" i="1"/>
  <c r="W163" i="1" s="1"/>
  <c r="U164" i="1"/>
  <c r="W164" i="1" s="1"/>
  <c r="U162" i="1"/>
  <c r="W162" i="1" s="1"/>
  <c r="U139" i="1"/>
  <c r="U165" i="1"/>
  <c r="W165" i="1" s="1"/>
  <c r="AQ112" i="1"/>
  <c r="AQ76" i="1"/>
  <c r="AL79" i="1"/>
  <c r="AG74" i="1"/>
  <c r="AQ56" i="1"/>
  <c r="AL93" i="1"/>
  <c r="AL75" i="1"/>
  <c r="AL100" i="1"/>
  <c r="AL107" i="1"/>
  <c r="AQ32" i="1"/>
  <c r="AL34" i="1"/>
  <c r="AL36" i="1"/>
  <c r="AL31" i="1" s="1"/>
  <c r="AQ39" i="1"/>
  <c r="AQ41" i="1"/>
  <c r="AQ86" i="1"/>
  <c r="L18" i="11" l="1"/>
  <c r="L18" i="4"/>
  <c r="O97" i="1"/>
  <c r="O75" i="1" s="1"/>
  <c r="O196" i="1"/>
  <c r="AG210" i="1"/>
  <c r="K35" i="4"/>
  <c r="V115" i="1"/>
  <c r="U115" i="1" s="1"/>
  <c r="T160" i="1"/>
  <c r="V160" i="1" s="1"/>
  <c r="T134" i="1"/>
  <c r="V134" i="1" s="1"/>
  <c r="U134" i="1" s="1"/>
  <c r="T157" i="1"/>
  <c r="V157" i="1" s="1"/>
  <c r="V140" i="1"/>
  <c r="U140" i="1" s="1"/>
  <c r="V131" i="1"/>
  <c r="U131" i="1" s="1"/>
  <c r="V126" i="1"/>
  <c r="V128" i="1"/>
  <c r="U128" i="1" s="1"/>
  <c r="V127" i="1"/>
  <c r="U127" i="1" s="1"/>
  <c r="T142" i="1"/>
  <c r="T122" i="1"/>
  <c r="V122" i="1" s="1"/>
  <c r="U122" i="1" s="1"/>
  <c r="V147" i="1"/>
  <c r="U147" i="1" s="1"/>
  <c r="V129" i="1"/>
  <c r="U129" i="1" s="1"/>
  <c r="T138" i="1"/>
  <c r="T137" i="1" s="1"/>
  <c r="V117" i="1"/>
  <c r="U117" i="1" s="1"/>
  <c r="T155" i="1"/>
  <c r="V155" i="1" s="1"/>
  <c r="T133" i="1"/>
  <c r="T120" i="1"/>
  <c r="V120" i="1" s="1"/>
  <c r="U120" i="1" s="1"/>
  <c r="T123" i="1"/>
  <c r="V123" i="1" s="1"/>
  <c r="U123" i="1" s="1"/>
  <c r="T158" i="1"/>
  <c r="V158" i="1" s="1"/>
  <c r="T135" i="1"/>
  <c r="V135" i="1" s="1"/>
  <c r="U135" i="1" s="1"/>
  <c r="V152" i="1"/>
  <c r="U152" i="1" s="1"/>
  <c r="Y152" i="1" s="1"/>
  <c r="T143" i="1"/>
  <c r="V143" i="1" s="1"/>
  <c r="U143" i="1" s="1"/>
  <c r="T159" i="1"/>
  <c r="V159" i="1" s="1"/>
  <c r="V118" i="1"/>
  <c r="U118" i="1" s="1"/>
  <c r="T156" i="1"/>
  <c r="V156" i="1" s="1"/>
  <c r="V116" i="1"/>
  <c r="U116" i="1" s="1"/>
  <c r="V130" i="1"/>
  <c r="U130" i="1" s="1"/>
  <c r="T136" i="1"/>
  <c r="V136" i="1" s="1"/>
  <c r="U136" i="1" s="1"/>
  <c r="T119" i="1"/>
  <c r="V119" i="1" s="1"/>
  <c r="U119" i="1" s="1"/>
  <c r="T121" i="1"/>
  <c r="V121" i="1" s="1"/>
  <c r="U121" i="1" s="1"/>
  <c r="V146" i="1"/>
  <c r="U146" i="1" s="1"/>
  <c r="V114" i="1"/>
  <c r="U114" i="1" s="1"/>
  <c r="AQ79" i="1"/>
  <c r="AQ197" i="1"/>
  <c r="O197" i="1"/>
  <c r="O153" i="1"/>
  <c r="M172" i="1"/>
  <c r="AL74" i="1"/>
  <c r="AQ93" i="1"/>
  <c r="AQ75" i="1"/>
  <c r="AQ34" i="1"/>
  <c r="AQ36" i="1"/>
  <c r="AQ31" i="1" s="1"/>
  <c r="AQ107" i="1"/>
  <c r="AQ100" i="1"/>
  <c r="M18" i="11" l="1"/>
  <c r="M18" i="4"/>
  <c r="U126" i="1"/>
  <c r="AL210" i="1"/>
  <c r="L35" i="4"/>
  <c r="M173" i="1"/>
  <c r="P175" i="1" s="1"/>
  <c r="T150" i="1"/>
  <c r="V151" i="1"/>
  <c r="U158" i="1"/>
  <c r="Y158" i="1"/>
  <c r="AA158" i="1" s="1"/>
  <c r="Z158" i="1" s="1"/>
  <c r="AD158" i="1"/>
  <c r="AF158" i="1" s="1"/>
  <c r="AE158" i="1" s="1"/>
  <c r="Y159" i="1"/>
  <c r="AA159" i="1" s="1"/>
  <c r="Z159" i="1" s="1"/>
  <c r="AD159" i="1"/>
  <c r="AF159" i="1" s="1"/>
  <c r="AE159" i="1" s="1"/>
  <c r="U159" i="1"/>
  <c r="T132" i="1"/>
  <c r="V133" i="1"/>
  <c r="T141" i="1"/>
  <c r="V142" i="1"/>
  <c r="AD157" i="1"/>
  <c r="AF157" i="1" s="1"/>
  <c r="AE157" i="1" s="1"/>
  <c r="Y157" i="1"/>
  <c r="AA157" i="1" s="1"/>
  <c r="Z157" i="1" s="1"/>
  <c r="U157" i="1"/>
  <c r="T148" i="1"/>
  <c r="V149" i="1"/>
  <c r="AD155" i="1"/>
  <c r="AF155" i="1" s="1"/>
  <c r="AE155" i="1" s="1"/>
  <c r="U155" i="1"/>
  <c r="Y155" i="1"/>
  <c r="AA155" i="1" s="1"/>
  <c r="Z155" i="1" s="1"/>
  <c r="V145" i="1"/>
  <c r="U160" i="1"/>
  <c r="Y160" i="1"/>
  <c r="AA160" i="1" s="1"/>
  <c r="Z160" i="1" s="1"/>
  <c r="AD160" i="1"/>
  <c r="AF160" i="1" s="1"/>
  <c r="AE160" i="1" s="1"/>
  <c r="U156" i="1"/>
  <c r="Y156" i="1"/>
  <c r="AA156" i="1" s="1"/>
  <c r="Z156" i="1" s="1"/>
  <c r="AD156" i="1"/>
  <c r="AF156" i="1" s="1"/>
  <c r="AE156" i="1" s="1"/>
  <c r="T112" i="1"/>
  <c r="V138" i="1"/>
  <c r="AR170" i="1"/>
  <c r="W170" i="1" s="1"/>
  <c r="V170" i="1" s="1"/>
  <c r="U170" i="1" s="1"/>
  <c r="O172" i="1"/>
  <c r="O173" i="1" s="1"/>
  <c r="AB144" i="1"/>
  <c r="AB141" i="1"/>
  <c r="AQ74" i="1"/>
  <c r="O202" i="1" l="1"/>
  <c r="M178" i="1"/>
  <c r="AQ210" i="1"/>
  <c r="M35" i="4"/>
  <c r="U138" i="1"/>
  <c r="U137" i="1" s="1"/>
  <c r="V137" i="1"/>
  <c r="U145" i="1"/>
  <c r="U144" i="1" s="1"/>
  <c r="V144" i="1"/>
  <c r="U113" i="1"/>
  <c r="U112" i="1" s="1"/>
  <c r="V112" i="1"/>
  <c r="U142" i="1"/>
  <c r="U141" i="1" s="1"/>
  <c r="V141" i="1"/>
  <c r="V132" i="1"/>
  <c r="U133" i="1"/>
  <c r="U132" i="1" s="1"/>
  <c r="U151" i="1"/>
  <c r="Y151" i="1" s="1"/>
  <c r="V150" i="1"/>
  <c r="V148" i="1"/>
  <c r="U149" i="1"/>
  <c r="Y149" i="1" s="1"/>
  <c r="O203" i="1"/>
  <c r="AR167" i="1" s="1"/>
  <c r="AG139" i="1"/>
  <c r="T167" i="1" l="1"/>
  <c r="T154" i="1" s="1"/>
  <c r="AL139" i="1"/>
  <c r="AG141" i="1"/>
  <c r="AL154" i="1" l="1"/>
  <c r="AQ154" i="1"/>
  <c r="V167" i="1"/>
  <c r="U167" i="1" s="1"/>
  <c r="U154" i="1" s="1"/>
  <c r="AG154" i="1"/>
  <c r="AB154" i="1"/>
  <c r="V154" i="1"/>
  <c r="AG144" i="1"/>
  <c r="AQ139" i="1"/>
  <c r="AL144" i="1" l="1"/>
  <c r="AL141" i="1"/>
  <c r="AQ141" i="1" l="1"/>
  <c r="AQ144" i="1"/>
  <c r="T153" i="1" l="1"/>
  <c r="W161" i="1"/>
  <c r="W154" i="1" s="1"/>
  <c r="W153" i="1" l="1"/>
  <c r="V153" i="1" l="1"/>
  <c r="U153" i="1" s="1"/>
  <c r="AB153" i="1"/>
  <c r="Y153" i="1" l="1"/>
  <c r="AG153" i="1"/>
  <c r="Z153" i="1" l="1"/>
  <c r="AA153" i="1" s="1"/>
  <c r="AB53" i="1" l="1"/>
  <c r="AG53" i="1" l="1"/>
  <c r="AB50" i="1"/>
  <c r="AL53" i="1" l="1"/>
  <c r="AG50" i="1"/>
  <c r="AL50" i="1" l="1"/>
  <c r="AQ53" i="1"/>
  <c r="AQ50" i="1" s="1"/>
  <c r="AL153" i="1" l="1"/>
  <c r="AQ153" i="1"/>
  <c r="Y74" i="1" l="1"/>
  <c r="Y172" i="1" s="1"/>
  <c r="Y173" i="1" l="1"/>
  <c r="Z74" i="1"/>
  <c r="AA74" i="1" s="1"/>
  <c r="V197" i="1" l="1"/>
  <c r="W59" i="1" l="1"/>
  <c r="W25" i="1" s="1"/>
  <c r="I34" i="11" s="1"/>
  <c r="AB62" i="1"/>
  <c r="AG62" i="1" s="1"/>
  <c r="W125" i="1" l="1"/>
  <c r="T125" i="1" s="1"/>
  <c r="AL62" i="1"/>
  <c r="I34" i="4"/>
  <c r="BB24" i="1"/>
  <c r="BC24" i="1" s="1"/>
  <c r="BD24" i="1" s="1"/>
  <c r="BE24" i="1" s="1"/>
  <c r="BF24" i="1" s="1"/>
  <c r="C4" i="3"/>
  <c r="T61" i="1"/>
  <c r="V125" i="1" l="1"/>
  <c r="T124" i="1"/>
  <c r="T111" i="1" s="1"/>
  <c r="W124" i="1"/>
  <c r="W111" i="1" s="1"/>
  <c r="W172" i="1" s="1"/>
  <c r="I33" i="11" s="1"/>
  <c r="I37" i="11" s="1"/>
  <c r="T66" i="1"/>
  <c r="T59" i="1"/>
  <c r="T25" i="1" s="1"/>
  <c r="V61" i="1"/>
  <c r="AB65" i="1"/>
  <c r="AQ62" i="1"/>
  <c r="T172" i="1" l="1"/>
  <c r="T173" i="1" s="1"/>
  <c r="K13" i="3" s="1"/>
  <c r="W173" i="1"/>
  <c r="W177" i="1" s="1"/>
  <c r="I33" i="4"/>
  <c r="I37" i="4" s="1"/>
  <c r="U125" i="1"/>
  <c r="U124" i="1" s="1"/>
  <c r="U111" i="1" s="1"/>
  <c r="V124" i="1"/>
  <c r="V111" i="1" s="1"/>
  <c r="K3" i="3"/>
  <c r="U61" i="1"/>
  <c r="U59" i="1" s="1"/>
  <c r="U25" i="1" s="1"/>
  <c r="AB63" i="1"/>
  <c r="V59" i="1"/>
  <c r="V25" i="1" s="1"/>
  <c r="AB66" i="1"/>
  <c r="AB61" i="1" s="1"/>
  <c r="AB59" i="1" s="1"/>
  <c r="AB25" i="1" s="1"/>
  <c r="AG65" i="1"/>
  <c r="J34" i="11" l="1"/>
  <c r="AB125" i="1"/>
  <c r="AB124" i="1" s="1"/>
  <c r="AB111" i="1" s="1"/>
  <c r="AB172" i="1" s="1"/>
  <c r="J33" i="11" s="1"/>
  <c r="J37" i="11" s="1"/>
  <c r="T177" i="1"/>
  <c r="T178" i="1"/>
  <c r="T181" i="1" s="1"/>
  <c r="W175" i="1"/>
  <c r="L3" i="3"/>
  <c r="U172" i="1"/>
  <c r="U173" i="1" s="1"/>
  <c r="U178" i="1" s="1"/>
  <c r="W180" i="1" s="1"/>
  <c r="V172" i="1"/>
  <c r="V173" i="1" s="1"/>
  <c r="AB209" i="1"/>
  <c r="J34" i="4"/>
  <c r="AG66" i="1"/>
  <c r="AG61" i="1" s="1"/>
  <c r="AG59" i="1" s="1"/>
  <c r="AG25" i="1" s="1"/>
  <c r="AL65" i="1"/>
  <c r="V66" i="1"/>
  <c r="U66" i="1" s="1"/>
  <c r="AG63" i="1"/>
  <c r="AB64" i="1"/>
  <c r="W179" i="1" l="1"/>
  <c r="K34" i="11"/>
  <c r="AG125" i="1"/>
  <c r="AG124" i="1" s="1"/>
  <c r="AG111" i="1" s="1"/>
  <c r="AG172" i="1" s="1"/>
  <c r="K33" i="11" s="1"/>
  <c r="K37" i="11" s="1"/>
  <c r="AB173" i="1"/>
  <c r="AB174" i="1" s="1"/>
  <c r="W176" i="1"/>
  <c r="K14" i="3"/>
  <c r="AS175" i="1"/>
  <c r="V177" i="1"/>
  <c r="V178" i="1"/>
  <c r="V181" i="1" s="1"/>
  <c r="AR173" i="1"/>
  <c r="K4" i="3"/>
  <c r="J33" i="4"/>
  <c r="J37" i="4" s="1"/>
  <c r="AR172" i="1"/>
  <c r="Z172" i="1"/>
  <c r="AL63" i="1"/>
  <c r="AG64" i="1"/>
  <c r="AQ65" i="1"/>
  <c r="AQ66" i="1" s="1"/>
  <c r="AQ61" i="1" s="1"/>
  <c r="AQ59" i="1" s="1"/>
  <c r="AQ25" i="1" s="1"/>
  <c r="AL66" i="1"/>
  <c r="AL61" i="1" s="1"/>
  <c r="AL59" i="1" s="1"/>
  <c r="AL25" i="1" s="1"/>
  <c r="K34" i="4"/>
  <c r="AG209" i="1"/>
  <c r="W181" i="1"/>
  <c r="L4" i="3" l="1"/>
  <c r="M34" i="11"/>
  <c r="AQ125" i="1"/>
  <c r="AQ124" i="1" s="1"/>
  <c r="AQ111" i="1" s="1"/>
  <c r="AQ172" i="1" s="1"/>
  <c r="L34" i="11"/>
  <c r="AL125" i="1"/>
  <c r="AL124" i="1" s="1"/>
  <c r="AL111" i="1" s="1"/>
  <c r="AL172" i="1" s="1"/>
  <c r="L33" i="11" s="1"/>
  <c r="L37" i="11" s="1"/>
  <c r="AB175" i="1"/>
  <c r="AB176" i="1" s="1"/>
  <c r="AG175" i="1" s="1"/>
  <c r="AG176" i="1" s="1"/>
  <c r="AL175" i="1" s="1"/>
  <c r="AG173" i="1"/>
  <c r="AQ63" i="1"/>
  <c r="AQ64" i="1" s="1"/>
  <c r="AL64" i="1"/>
  <c r="K33" i="4"/>
  <c r="K37" i="4" s="1"/>
  <c r="AS172" i="1"/>
  <c r="AA172" i="1"/>
  <c r="AA173" i="1" s="1"/>
  <c r="Z173" i="1"/>
  <c r="L34" i="4"/>
  <c r="AL209" i="1"/>
  <c r="AQ209" i="1"/>
  <c r="M34" i="4"/>
  <c r="AB179" i="1" l="1"/>
  <c r="K5" i="3"/>
  <c r="L5" i="3" s="1"/>
  <c r="K15" i="3"/>
  <c r="M33" i="11"/>
  <c r="M37" i="11" s="1"/>
  <c r="AQ173" i="1"/>
  <c r="AB177" i="1"/>
  <c r="AB208" i="1"/>
  <c r="K16" i="3"/>
  <c r="AB180" i="1"/>
  <c r="AB181" i="1" s="1"/>
  <c r="K6" i="3"/>
  <c r="AL173" i="1"/>
  <c r="AL176" i="1"/>
  <c r="AQ175" i="1" s="1"/>
  <c r="AQ176" i="1" s="1"/>
  <c r="K7" i="3"/>
  <c r="AG179" i="1"/>
  <c r="K17" i="3"/>
  <c r="AG208" i="1"/>
  <c r="M33" i="4"/>
  <c r="M37" i="4" s="1"/>
  <c r="L33" i="4"/>
  <c r="L37" i="4" s="1"/>
  <c r="L6" i="3" l="1"/>
  <c r="L7" i="3"/>
  <c r="AG180" i="1"/>
  <c r="AG181" i="1" s="1"/>
  <c r="AG177" i="1"/>
  <c r="K18" i="3"/>
  <c r="K8" i="3"/>
  <c r="L8" i="3" s="1"/>
  <c r="K19" i="3" l="1"/>
  <c r="AL179" i="1"/>
  <c r="K9" i="3"/>
  <c r="AL208" i="1"/>
  <c r="AL177" i="1" l="1"/>
  <c r="K20" i="3"/>
  <c r="AL180" i="1"/>
  <c r="AL181" i="1" s="1"/>
  <c r="K10" i="3"/>
  <c r="L10" i="3" s="1"/>
  <c r="L9" i="3"/>
  <c r="K21" i="3" l="1"/>
  <c r="AQ179" i="1"/>
  <c r="K11" i="3"/>
  <c r="AQ208" i="1"/>
  <c r="L11" i="3" l="1"/>
  <c r="AQ180" i="1"/>
  <c r="AQ181" i="1" s="1"/>
  <c r="K22" i="3"/>
  <c r="K12" i="3"/>
  <c r="AQ177" i="1"/>
  <c r="L12" i="3" l="1"/>
  <c r="S36" i="1" l="1"/>
  <c r="S31" i="1" s="1"/>
  <c r="S25" i="1" s="1"/>
  <c r="S172" i="1" s="1"/>
  <c r="S173" i="1" s="1"/>
  <c r="S34" i="1"/>
  <c r="AJ79" i="13" l="1"/>
  <c r="AM205" i="13"/>
  <c r="AL79" i="13"/>
  <c r="AL205" i="13"/>
  <c r="AK79" i="13"/>
  <c r="AK205" i="13"/>
  <c r="AJ205" i="13"/>
  <c r="AI79" i="13"/>
  <c r="AI205" i="13"/>
  <c r="AM79" i="13"/>
  <c r="AK81" i="13"/>
  <c r="AI207" i="13"/>
  <c r="AM207" i="13"/>
  <c r="AL207" i="13"/>
  <c r="AJ81" i="13"/>
  <c r="AK207" i="13"/>
  <c r="AI81" i="13"/>
  <c r="AJ207" i="13"/>
  <c r="AL81" i="13"/>
  <c r="AM81" i="13"/>
  <c r="AL82" i="13"/>
  <c r="AW82" i="13" s="1"/>
  <c r="AM208" i="13"/>
  <c r="AK82" i="13"/>
  <c r="AV82" i="13" s="1"/>
  <c r="AI82" i="13"/>
  <c r="AT82" i="13" s="1"/>
  <c r="AL208" i="13"/>
  <c r="AW208" i="13" s="1"/>
  <c r="AK208" i="13"/>
  <c r="AV208" i="13" s="1"/>
  <c r="AJ208" i="13"/>
  <c r="AU208" i="13" s="1"/>
  <c r="AI208" i="13"/>
  <c r="AT208" i="13" s="1"/>
  <c r="AM82" i="13"/>
  <c r="AJ82" i="13"/>
  <c r="AU82" i="13" s="1"/>
  <c r="AL209" i="13"/>
  <c r="AW209" i="13" s="1"/>
  <c r="AK209" i="13"/>
  <c r="AV209" i="13" s="1"/>
  <c r="AM83" i="13"/>
  <c r="AL83" i="13"/>
  <c r="AW83" i="13" s="1"/>
  <c r="AJ209" i="13"/>
  <c r="AU209" i="13" s="1"/>
  <c r="AK83" i="13"/>
  <c r="AV83" i="13" s="1"/>
  <c r="AI209" i="13"/>
  <c r="AT209" i="13" s="1"/>
  <c r="AJ83" i="13"/>
  <c r="AU83" i="13" s="1"/>
  <c r="AI83" i="13"/>
  <c r="AT83" i="13" s="1"/>
  <c r="AM209" i="13"/>
  <c r="AL84" i="13"/>
  <c r="AW84" i="13" s="1"/>
  <c r="AM210" i="13"/>
  <c r="AK84" i="13"/>
  <c r="AV84" i="13" s="1"/>
  <c r="AJ84" i="13"/>
  <c r="AU84" i="13" s="1"/>
  <c r="AL210" i="13"/>
  <c r="AW210" i="13" s="1"/>
  <c r="AK210" i="13"/>
  <c r="AV210" i="13" s="1"/>
  <c r="AI84" i="13"/>
  <c r="AJ210" i="13"/>
  <c r="AU210" i="13" s="1"/>
  <c r="AM84" i="13"/>
  <c r="AI210" i="13"/>
  <c r="AT210" i="13" s="1"/>
  <c r="AL211" i="13"/>
  <c r="AW211" i="13" s="1"/>
  <c r="AM85" i="13"/>
  <c r="AK211" i="13"/>
  <c r="AV211" i="13" s="1"/>
  <c r="AL85" i="13"/>
  <c r="AW85" i="13" s="1"/>
  <c r="AJ211" i="13"/>
  <c r="AU211" i="13" s="1"/>
  <c r="AK85" i="13"/>
  <c r="AV85" i="13" s="1"/>
  <c r="AI211" i="13"/>
  <c r="AT211" i="13" s="1"/>
  <c r="AJ85" i="13"/>
  <c r="AU85" i="13" s="1"/>
  <c r="AI85" i="13"/>
  <c r="AT85" i="13" s="1"/>
  <c r="AM211" i="13"/>
  <c r="AL86" i="13"/>
  <c r="AW86" i="13" s="1"/>
  <c r="AM212" i="13"/>
  <c r="AK86" i="13"/>
  <c r="AV86" i="13" s="1"/>
  <c r="AL212" i="13"/>
  <c r="AW212" i="13" s="1"/>
  <c r="AJ86" i="13"/>
  <c r="AU86" i="13" s="1"/>
  <c r="AK212" i="13"/>
  <c r="AV212" i="13" s="1"/>
  <c r="AI212" i="13"/>
  <c r="AT212" i="13" s="1"/>
  <c r="AJ212" i="13"/>
  <c r="AU212" i="13" s="1"/>
  <c r="AM86" i="13"/>
  <c r="AI86" i="13"/>
  <c r="AT86" i="13" s="1"/>
  <c r="AL213" i="13"/>
  <c r="AW213" i="13" s="1"/>
  <c r="AM87" i="13"/>
  <c r="AK213" i="13"/>
  <c r="AV213" i="13" s="1"/>
  <c r="AL87" i="13"/>
  <c r="AW87" i="13" s="1"/>
  <c r="AJ213" i="13"/>
  <c r="AU213" i="13" s="1"/>
  <c r="AK87" i="13"/>
  <c r="AV87" i="13" s="1"/>
  <c r="AI213" i="13"/>
  <c r="AT213" i="13" s="1"/>
  <c r="AJ87" i="13"/>
  <c r="AU87" i="13" s="1"/>
  <c r="AI87" i="13"/>
  <c r="AT87" i="13" s="1"/>
  <c r="AM213" i="13"/>
  <c r="AL88" i="13"/>
  <c r="AW88" i="13" s="1"/>
  <c r="AM214" i="13"/>
  <c r="AK88" i="13"/>
  <c r="AV88" i="13" s="1"/>
  <c r="AL214" i="13"/>
  <c r="AW214" i="13" s="1"/>
  <c r="AJ88" i="13"/>
  <c r="AU88" i="13" s="1"/>
  <c r="AK214" i="13"/>
  <c r="AV214" i="13" s="1"/>
  <c r="AI88" i="13"/>
  <c r="AJ214" i="13"/>
  <c r="AU214" i="13" s="1"/>
  <c r="AM88" i="13"/>
  <c r="AI214" i="13"/>
  <c r="AL215" i="13"/>
  <c r="AW215" i="13" s="1"/>
  <c r="AK215" i="13"/>
  <c r="AV215" i="13" s="1"/>
  <c r="AM89" i="13"/>
  <c r="AL89" i="13"/>
  <c r="AW89" i="13" s="1"/>
  <c r="AJ215" i="13"/>
  <c r="AU215" i="13" s="1"/>
  <c r="AK89" i="13"/>
  <c r="AV89" i="13" s="1"/>
  <c r="AI215" i="13"/>
  <c r="AT215" i="13" s="1"/>
  <c r="AJ89" i="13"/>
  <c r="AU89" i="13" s="1"/>
  <c r="AM215" i="13"/>
  <c r="AI89" i="13"/>
  <c r="AT89" i="13" s="1"/>
  <c r="AI101" i="13"/>
  <c r="AJ101" i="13" l="1"/>
  <c r="AU101" i="13" s="1"/>
  <c r="AS101" i="13"/>
  <c r="AT101" i="13"/>
  <c r="AV207" i="13"/>
  <c r="AK206" i="13"/>
  <c r="AV206" i="13" s="1"/>
  <c r="AW79" i="13"/>
  <c r="AT88" i="13"/>
  <c r="AS88" i="13"/>
  <c r="AT84" i="13"/>
  <c r="AS84" i="13"/>
  <c r="AU81" i="13"/>
  <c r="AJ80" i="13"/>
  <c r="AU80" i="13" s="1"/>
  <c r="AT81" i="13"/>
  <c r="AI80" i="13"/>
  <c r="AW205" i="13"/>
  <c r="AL206" i="13"/>
  <c r="AW206" i="13" s="1"/>
  <c r="AW207" i="13"/>
  <c r="AT205" i="13"/>
  <c r="AU79" i="13"/>
  <c r="AJ67" i="13"/>
  <c r="AK227" i="13"/>
  <c r="AV227" i="13" s="1"/>
  <c r="AL101" i="13"/>
  <c r="AW101" i="13" s="1"/>
  <c r="AM101" i="13"/>
  <c r="AM206" i="13"/>
  <c r="AM193" i="13" s="1"/>
  <c r="AT79" i="13"/>
  <c r="AL227" i="13"/>
  <c r="AW227" i="13" s="1"/>
  <c r="AM80" i="13"/>
  <c r="AM67" i="13" s="1"/>
  <c r="AT207" i="13"/>
  <c r="AI206" i="13"/>
  <c r="AI193" i="13" s="1"/>
  <c r="AU205" i="13"/>
  <c r="AJ227" i="13"/>
  <c r="AU227" i="13" s="1"/>
  <c r="AW81" i="13"/>
  <c r="AL80" i="13"/>
  <c r="AW80" i="13" s="1"/>
  <c r="AV81" i="13"/>
  <c r="AK80" i="13"/>
  <c r="AV80" i="13" s="1"/>
  <c r="AV205" i="13"/>
  <c r="AK193" i="13"/>
  <c r="AI227" i="13"/>
  <c r="AT227" i="13" s="1"/>
  <c r="AT214" i="13"/>
  <c r="AS214" i="13"/>
  <c r="AU207" i="13"/>
  <c r="AJ206" i="13"/>
  <c r="AU206" i="13" s="1"/>
  <c r="AM227" i="13"/>
  <c r="AV79" i="13"/>
  <c r="AK67" i="13"/>
  <c r="AK101" i="13"/>
  <c r="AV101" i="13" s="1"/>
  <c r="AM251" i="13" l="1"/>
  <c r="AM252" i="13" s="1"/>
  <c r="AM125" i="13"/>
  <c r="AM126" i="13" s="1"/>
  <c r="AT193" i="13"/>
  <c r="AS193" i="13"/>
  <c r="AI251" i="13"/>
  <c r="AU67" i="13"/>
  <c r="AJ125" i="13"/>
  <c r="AT80" i="13"/>
  <c r="AS80" i="13"/>
  <c r="AI67" i="13"/>
  <c r="AL67" i="13"/>
  <c r="AV67" i="13"/>
  <c r="AK125" i="13"/>
  <c r="AJ193" i="13"/>
  <c r="AV193" i="13"/>
  <c r="AK251" i="13"/>
  <c r="AT206" i="13"/>
  <c r="AS206" i="13"/>
  <c r="AL193" i="13"/>
  <c r="AM250" i="13" l="1"/>
  <c r="AM124" i="13"/>
  <c r="AV125" i="13"/>
  <c r="AK124" i="13"/>
  <c r="AK126" i="13"/>
  <c r="AV126" i="13" s="1"/>
  <c r="AT251" i="13"/>
  <c r="AS251" i="13"/>
  <c r="AI250" i="13"/>
  <c r="AI252" i="13"/>
  <c r="AW193" i="13"/>
  <c r="AL251" i="13"/>
  <c r="AW67" i="13"/>
  <c r="AL125" i="13"/>
  <c r="AT67" i="13"/>
  <c r="AS67" i="13"/>
  <c r="AI125" i="13"/>
  <c r="AU193" i="13"/>
  <c r="AJ251" i="13"/>
  <c r="AV251" i="13"/>
  <c r="AK252" i="13"/>
  <c r="AV252" i="13" s="1"/>
  <c r="AK250" i="13"/>
  <c r="AU125" i="13"/>
  <c r="AJ124" i="13"/>
  <c r="AJ126" i="13"/>
  <c r="AU126" i="13" s="1"/>
  <c r="AT252" i="13" l="1"/>
  <c r="AS252" i="13"/>
  <c r="AT125" i="13"/>
  <c r="AS125" i="13"/>
  <c r="AI124" i="13"/>
  <c r="AI126" i="13"/>
  <c r="AJ250" i="13"/>
  <c r="AJ252" i="13"/>
  <c r="AU252" i="13" s="1"/>
  <c r="AU251" i="13"/>
  <c r="AL124" i="13"/>
  <c r="AL126" i="13"/>
  <c r="AW126" i="13" s="1"/>
  <c r="AW125" i="13"/>
  <c r="AL250" i="13"/>
  <c r="AL252" i="13"/>
  <c r="AW252" i="13" s="1"/>
  <c r="AW251" i="13"/>
  <c r="AT126" i="13" l="1"/>
  <c r="AS126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M13" authorId="0" shapeId="0" xr:uid="{E82CAE06-FF98-48E4-8FB8-508236E6952D}">
      <text>
        <r>
          <rPr>
            <b/>
            <sz val="9"/>
            <color indexed="81"/>
            <rFont val="Tahoma"/>
            <family val="2"/>
            <charset val="204"/>
          </rPr>
          <t>с календар разбивкой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<sst xmlns="http://schemas.openxmlformats.org/spreadsheetml/2006/main" count="2730" uniqueCount="953">
  <si>
    <t>проверка</t>
  </si>
  <si>
    <t>№ п/п</t>
  </si>
  <si>
    <t>Показатели</t>
  </si>
  <si>
    <t>Ед.изм.</t>
  </si>
  <si>
    <t>Утверждено на текущий долгосрочный период регулирования</t>
  </si>
  <si>
    <t>Расчет</t>
  </si>
  <si>
    <t xml:space="preserve"> План 1 полугодие 2022</t>
  </si>
  <si>
    <t xml:space="preserve">План 2 полугодие 2022 </t>
  </si>
  <si>
    <t>2 полугодие 2022 (5 месяцев)</t>
  </si>
  <si>
    <t>2 полугодие 2022 (декабрь)</t>
  </si>
  <si>
    <t>Факт</t>
  </si>
  <si>
    <t>Расходы принятые для корректировки с учетом подтвержадющих документов</t>
  </si>
  <si>
    <t>План</t>
  </si>
  <si>
    <t>Ожидаемое</t>
  </si>
  <si>
    <t>предложение предприятия</t>
  </si>
  <si>
    <t>предложение регулятора</t>
  </si>
  <si>
    <t>исходя из годовых показателей деятельности организации</t>
  </si>
  <si>
    <t>Натуральные показатели</t>
  </si>
  <si>
    <t>1.1</t>
  </si>
  <si>
    <t>тыс.куб.м</t>
  </si>
  <si>
    <t>1.2</t>
  </si>
  <si>
    <t>1.3</t>
  </si>
  <si>
    <t>1.4</t>
  </si>
  <si>
    <t>1.5</t>
  </si>
  <si>
    <t>%</t>
  </si>
  <si>
    <t>1.6</t>
  </si>
  <si>
    <t>1.6.1</t>
  </si>
  <si>
    <t>1.6.2</t>
  </si>
  <si>
    <t>1.6.3</t>
  </si>
  <si>
    <t>1.6.4</t>
  </si>
  <si>
    <t>Операционные расходы</t>
  </si>
  <si>
    <t>тыс. руб.</t>
  </si>
  <si>
    <t>Расходы на приобретение сырья и материалов и их хранение</t>
  </si>
  <si>
    <t>1.1.</t>
  </si>
  <si>
    <t>Реагенты</t>
  </si>
  <si>
    <t>1.1.1</t>
  </si>
  <si>
    <t>Горюче-смазочные материалы</t>
  </si>
  <si>
    <t>1.1.2</t>
  </si>
  <si>
    <t>Материалы и малоценные основные средства</t>
  </si>
  <si>
    <t>Расходы на оплату работ и услуг, выполняемых сторонними организациями, связанные с эксплуатацией централизованных систем</t>
  </si>
  <si>
    <t>Расходы на оплату труда и отчисления на социальные нужды основного производственного персонала</t>
  </si>
  <si>
    <t>1.3.1</t>
  </si>
  <si>
    <t>Расходы на оплату труда производственного персонала</t>
  </si>
  <si>
    <t>численность производственного персонала</t>
  </si>
  <si>
    <t>ед.</t>
  </si>
  <si>
    <t>среднемесячная оплата труда производственного персонала</t>
  </si>
  <si>
    <t>руб.</t>
  </si>
  <si>
    <t>Отчисления на социальные нужды производственного персонала</t>
  </si>
  <si>
    <t>1.3.2</t>
  </si>
  <si>
    <t>Расходы на оплату труда цехового персонала</t>
  </si>
  <si>
    <t>численность цехового персонала</t>
  </si>
  <si>
    <t>среднемесячная оплата труда цехового персонала</t>
  </si>
  <si>
    <t>Отчисления на социальные нужды цехового персонала</t>
  </si>
  <si>
    <t>Расходы на уплату процентов по займам и кредитам</t>
  </si>
  <si>
    <t>Общехозяйственные расходы</t>
  </si>
  <si>
    <t>Прочие производственные расходы</t>
  </si>
  <si>
    <t>Услуги по обращению с осадком сточных вод</t>
  </si>
  <si>
    <t>Расходы на амортизацию автотранспорта</t>
  </si>
  <si>
    <t>Контроль качества воды и сточных вод</t>
  </si>
  <si>
    <t>Расходы на аварийно-диспетчерское обслуживание</t>
  </si>
  <si>
    <t>1.6.5</t>
  </si>
  <si>
    <t>Прочие расходы</t>
  </si>
  <si>
    <t>1.7</t>
  </si>
  <si>
    <t>Ремонтные расходы</t>
  </si>
  <si>
    <t>1.7.1</t>
  </si>
  <si>
    <t>Расходы на текущий ремонт централизованных систем водоснабжения</t>
  </si>
  <si>
    <t>1.7.2</t>
  </si>
  <si>
    <t>Расходы на капитальный ремонт централизованных систем водоснабжения</t>
  </si>
  <si>
    <t>1.7.3</t>
  </si>
  <si>
    <t>Расходы на оплату труда и отчисления на социальные нужды ремонтного персонала</t>
  </si>
  <si>
    <t>1.7.3.1</t>
  </si>
  <si>
    <t>Расходы на оплату труда ремонтного персонала</t>
  </si>
  <si>
    <t>численность ремонтного персонала</t>
  </si>
  <si>
    <t>среднемесячная оплата труда ремонтного персонала</t>
  </si>
  <si>
    <t>1.7.3.2</t>
  </si>
  <si>
    <t>Отчисления на социальные нужды ремонтного персонала</t>
  </si>
  <si>
    <t>1.8</t>
  </si>
  <si>
    <t>Административные расходы</t>
  </si>
  <si>
    <t>1.8.1</t>
  </si>
  <si>
    <t>Расходы на оплату работ и услуг, выполняемых сторонними организациями (услуги связи и интернет; юридические, аудиторские, консультационные, информационные, управленческие услуги; услуги по вневедомственной охране объектов и территорий; прочие работы и услуги)</t>
  </si>
  <si>
    <t>1.8.2</t>
  </si>
  <si>
    <t>Расходы на оплату труда и отчисления на социальные нужды административно-управленческого персонала</t>
  </si>
  <si>
    <t>1.8.2.1</t>
  </si>
  <si>
    <t>Расходы на оплату труда административно-управленческого персонала</t>
  </si>
  <si>
    <t>численность административно-управленческого персонала</t>
  </si>
  <si>
    <t>среднемесячная оплата труда административно-управленческого персонала</t>
  </si>
  <si>
    <t>1.8.2.2</t>
  </si>
  <si>
    <t>Отчисления на социальные нужды административно-управленческого персонала</t>
  </si>
  <si>
    <t>1.8.3</t>
  </si>
  <si>
    <t>Арендная плата, лизинговые платежи, не связанные с арендой (лизингом) централизованных систем водоснабжения</t>
  </si>
  <si>
    <t>1.8.4</t>
  </si>
  <si>
    <t>Служебные командировки</t>
  </si>
  <si>
    <t>1.8.5</t>
  </si>
  <si>
    <t>Обучение персонала</t>
  </si>
  <si>
    <t>1.8.6</t>
  </si>
  <si>
    <t>Страхование производственных объектов</t>
  </si>
  <si>
    <t>1.8.7</t>
  </si>
  <si>
    <t>Прочие административные расходы (амортизация непроизводственных активов, охрана объектов и территорий, прочие расходы)</t>
  </si>
  <si>
    <t>1.9</t>
  </si>
  <si>
    <t>Сбытовые расходы гарантирующих организаций</t>
  </si>
  <si>
    <t>1.9.1</t>
  </si>
  <si>
    <t>Резерв по сомнительным долгам гарантирующей организации</t>
  </si>
  <si>
    <t>2</t>
  </si>
  <si>
    <t>Расходы на энергетические ресурсы</t>
  </si>
  <si>
    <t>электроэнергия</t>
  </si>
  <si>
    <t>энергия НН (0,4 кВ и ниже)</t>
  </si>
  <si>
    <t>тыс.руб.</t>
  </si>
  <si>
    <t>объем покупной энергии</t>
  </si>
  <si>
    <t>тыс.кВтч.</t>
  </si>
  <si>
    <t>заявленная мощность</t>
  </si>
  <si>
    <t>одноставочный тариф</t>
  </si>
  <si>
    <t>руб.кВтч.</t>
  </si>
  <si>
    <t>двухставочный тариф</t>
  </si>
  <si>
    <t>ставка за мощность</t>
  </si>
  <si>
    <t>руб./кВт.мес.</t>
  </si>
  <si>
    <t>ставка за энергию</t>
  </si>
  <si>
    <t>энергия СН1 (35 кВ)</t>
  </si>
  <si>
    <t>энергия СН2 (1-20 кВ)</t>
  </si>
  <si>
    <t>энергия ВН (110 кВ и выше)</t>
  </si>
  <si>
    <t>Без разбивки по напряжениям/генерация</t>
  </si>
  <si>
    <t>3</t>
  </si>
  <si>
    <t>Неподконтрольные расходы</t>
  </si>
  <si>
    <t>3.1</t>
  </si>
  <si>
    <t>Расходы на оплату товаров (услуг, работ), приобретаемых у других организаций</t>
  </si>
  <si>
    <t>3.1.1</t>
  </si>
  <si>
    <t>теплоэнергия</t>
  </si>
  <si>
    <t>3.1.2</t>
  </si>
  <si>
    <t>теплоноситель</t>
  </si>
  <si>
    <t>3.1.3</t>
  </si>
  <si>
    <t>топливо</t>
  </si>
  <si>
    <t>3.1.4</t>
  </si>
  <si>
    <t>холодная вода</t>
  </si>
  <si>
    <t>3.1.5</t>
  </si>
  <si>
    <t>услуги по холодному водоснабжению</t>
  </si>
  <si>
    <t>3.1.6</t>
  </si>
  <si>
    <t>услуги по транспортировке холодной воды</t>
  </si>
  <si>
    <t>3.1.7</t>
  </si>
  <si>
    <t>услуги по горячему водоснабжению</t>
  </si>
  <si>
    <t>3.1.8</t>
  </si>
  <si>
    <t>услуги по приготовлению воды на нужды горячего водоснабжения</t>
  </si>
  <si>
    <t>3.1.9</t>
  </si>
  <si>
    <t>услуги по транспортировке горячей воды</t>
  </si>
  <si>
    <t>3.1.10</t>
  </si>
  <si>
    <t>услуги по водоотведению</t>
  </si>
  <si>
    <t>3.1.11</t>
  </si>
  <si>
    <t>услуги по транспортировке сточных вод</t>
  </si>
  <si>
    <t>3.2</t>
  </si>
  <si>
    <t>Расходы, связанные с уплатой налогов и сборов</t>
  </si>
  <si>
    <t>3.2.1</t>
  </si>
  <si>
    <t>3.2.2</t>
  </si>
  <si>
    <t>Налог на имущество организаций</t>
  </si>
  <si>
    <t>3.2.3</t>
  </si>
  <si>
    <t>Плата за негативное воздействие на окружающую среду</t>
  </si>
  <si>
    <t>3.2.4</t>
  </si>
  <si>
    <t>Водный налог и плата за пользование водным объектом</t>
  </si>
  <si>
    <t>3.2.5</t>
  </si>
  <si>
    <t>Земельный налог</t>
  </si>
  <si>
    <t>3.2.6</t>
  </si>
  <si>
    <t>Транспортный налог</t>
  </si>
  <si>
    <t>3.2.7</t>
  </si>
  <si>
    <t>Прочие налоги и сборы</t>
  </si>
  <si>
    <t>3.3</t>
  </si>
  <si>
    <t>Расходы на арендную плату, лизинговые платежи, концессионную плату</t>
  </si>
  <si>
    <t>3.3.1</t>
  </si>
  <si>
    <t>Аренда имущества</t>
  </si>
  <si>
    <t>3.3.2</t>
  </si>
  <si>
    <t>Концессионная плата</t>
  </si>
  <si>
    <t>3.3.3</t>
  </si>
  <si>
    <t>Лизинговые платежи</t>
  </si>
  <si>
    <t>3.3.4</t>
  </si>
  <si>
    <t>Аренда земельных участков</t>
  </si>
  <si>
    <t>3.4</t>
  </si>
  <si>
    <t>3.4.1</t>
  </si>
  <si>
    <t>Сбытовые расходы гарантирующей организации</t>
  </si>
  <si>
    <t>3.5</t>
  </si>
  <si>
    <t>Экономия расходов</t>
  </si>
  <si>
    <t>3.6</t>
  </si>
  <si>
    <t>Расходы на обслуживание бесхозяйных сетей</t>
  </si>
  <si>
    <t>3.7</t>
  </si>
  <si>
    <t>Расходы на компенсацию экономически обоснованных расходов</t>
  </si>
  <si>
    <t>3.7.1</t>
  </si>
  <si>
    <t>Экономически обоснованные расходы, не учтенные органом регулирования тарифов при установлении тарифов в прошлом периоде</t>
  </si>
  <si>
    <t>3.7.2</t>
  </si>
  <si>
    <t>Недополученные доходы прошлых периодов регулирования</t>
  </si>
  <si>
    <t>3.8</t>
  </si>
  <si>
    <t>Займы и кредиты (для метода индексации)</t>
  </si>
  <si>
    <t>3.8.1</t>
  </si>
  <si>
    <t>Возврат займов и кредитов</t>
  </si>
  <si>
    <t>3.8.2</t>
  </si>
  <si>
    <t>Проценты по займам и кредитам</t>
  </si>
  <si>
    <t>3.9</t>
  </si>
  <si>
    <t>Амортизация</t>
  </si>
  <si>
    <t>4.1</t>
  </si>
  <si>
    <t>Амортизация основных средств и нематериальных активов, относимых к объектам централизованной системы водоснабжения</t>
  </si>
  <si>
    <t>Нормативная прибыль</t>
  </si>
  <si>
    <t>5.1</t>
  </si>
  <si>
    <t>Расходы на капитальные вложения</t>
  </si>
  <si>
    <t>5.2</t>
  </si>
  <si>
    <t>Расходы на социальные нужды, предусмотренные коллективными договорами</t>
  </si>
  <si>
    <t>6</t>
  </si>
  <si>
    <t>Расчетная предпринимательская прибыль гарантирующей организации</t>
  </si>
  <si>
    <t>7</t>
  </si>
  <si>
    <t>Корректировка НВВ</t>
  </si>
  <si>
    <t>7.1</t>
  </si>
  <si>
    <t>Отклонение фактически достигнутого объема поданной воды</t>
  </si>
  <si>
    <t>7.2</t>
  </si>
  <si>
    <t>Отклонение фактических значений индекса потребительских цен и других индексов, предусмотренных прогнозом социально-экономического развития Российской Федерации</t>
  </si>
  <si>
    <t>7.3</t>
  </si>
  <si>
    <t>Отклонение фактически достигнутого уровня неподконтрольных расходов</t>
  </si>
  <si>
    <t>7.4</t>
  </si>
  <si>
    <t>Ввод объектов системы водоснабжения и (или) водоотведения в эксплуатацию и изменение утвержденной инвестиционной программы</t>
  </si>
  <si>
    <t>7.5</t>
  </si>
  <si>
    <t>Отклонение фактического значения целевых показателей деятельности организаций</t>
  </si>
  <si>
    <t>7.6</t>
  </si>
  <si>
    <t>Изменение доходности долгосрочных государственных обязательств</t>
  </si>
  <si>
    <t>Корректировка НВВ за 2016 год</t>
  </si>
  <si>
    <t>Корректировка НВВ за 2017 год</t>
  </si>
  <si>
    <t>Корректировка НВВ за 2018 год</t>
  </si>
  <si>
    <t>Корректировка НВВ за 2019 год</t>
  </si>
  <si>
    <t>Корректировка НВВ за 2020 год</t>
  </si>
  <si>
    <t>Корректировка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 за 2020 год</t>
  </si>
  <si>
    <t>Корректировка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 за 2021 год</t>
  </si>
  <si>
    <t>Корректировка НВВ за 2022 год</t>
  </si>
  <si>
    <t>Отклонение по КиН</t>
  </si>
  <si>
    <t>8</t>
  </si>
  <si>
    <t>Итого НВВ</t>
  </si>
  <si>
    <t>9</t>
  </si>
  <si>
    <t>руб./м3.</t>
  </si>
  <si>
    <t>Рост тарифа по сравнению с действующим</t>
  </si>
  <si>
    <t>Сценарные условия/индексы для расчета тарифов:</t>
  </si>
  <si>
    <t>Индекс потребительских цен</t>
  </si>
  <si>
    <t>-</t>
  </si>
  <si>
    <t>Индекс цен производителей</t>
  </si>
  <si>
    <t>Индекс роста номинальной заработной платы</t>
  </si>
  <si>
    <t>Индекс цен на электрическую энергию</t>
  </si>
  <si>
    <t>Индекс цен на покупную воду</t>
  </si>
  <si>
    <t>Индекс роста амортизационных отчислений</t>
  </si>
  <si>
    <t>Индекс эффективности расходов</t>
  </si>
  <si>
    <t>Индекс количества активов</t>
  </si>
  <si>
    <t>Доля операционных расходов на транспортировку воды</t>
  </si>
  <si>
    <t>Изменение операционных расходов на очистку воды, связанное с вводом в эксплуатацию нового объекта очистки воды</t>
  </si>
  <si>
    <t>Изменение операционных расходов на водоподготовку, связанное с вводом в эксплуатацию нового объекта водоподготовки</t>
  </si>
  <si>
    <t>СПРАВОЧНО:</t>
  </si>
  <si>
    <t>кВт.ч/м3</t>
  </si>
  <si>
    <t>Средний тариф на электроэнергию</t>
  </si>
  <si>
    <t>руб.кВт.ч</t>
  </si>
  <si>
    <t>шт.</t>
  </si>
  <si>
    <t>да/нет</t>
  </si>
  <si>
    <t>км.</t>
  </si>
  <si>
    <t>Выручка от реализации товаров (услуг)</t>
  </si>
  <si>
    <t>Размер корректировки с учетом подтвержадющих документов</t>
  </si>
  <si>
    <t>Уполномоченный по делу</t>
  </si>
  <si>
    <t>ПРОВЕРКА</t>
  </si>
  <si>
    <t>РОСТ ОПР</t>
  </si>
  <si>
    <t>РОСТ ЭЛ ЭН</t>
  </si>
  <si>
    <t>Выберете значение из списка</t>
  </si>
  <si>
    <t>Земсков Дмитрий Леонидович</t>
  </si>
  <si>
    <t>Зыков Михаил Иванович</t>
  </si>
  <si>
    <t>Целищева Светлана Николаевна</t>
  </si>
  <si>
    <t>Муравьева Анна Сергеевна</t>
  </si>
  <si>
    <t>Черных Алена Олеговна</t>
  </si>
  <si>
    <t>Боговарова Людмила Николаевна</t>
  </si>
  <si>
    <t>Гавриличева Лариса Николаевна</t>
  </si>
  <si>
    <t>Кулешова Ирина Юрьевна</t>
  </si>
  <si>
    <t>Левченко Иван Геннадьевич</t>
  </si>
  <si>
    <t>Приложение</t>
  </si>
  <si>
    <t>ПОКАЗАТЕЛИ НАДЕЖНОСТИ, КАЧЕСТВА ОБЪЕКТОВ ЦЕНТРАЛИЗОВАННЫХ СИСТЕМ ГОРЯЧЕГО
ВОДОСНАБЖЕНИЯ, ХОЛОДНОГО ВОДОСНАБЖЕНИЯ
И (ИЛИ) ВОДООТВЕДЕНИЯ</t>
  </si>
  <si>
    <t>Показатель</t>
  </si>
  <si>
    <t>Формула расчета показателя</t>
  </si>
  <si>
    <t>Отклонение</t>
  </si>
  <si>
    <t>Весовой коэффициент</t>
  </si>
  <si>
    <t>1.</t>
  </si>
  <si>
    <t>Показатели в сфере холодного водоснабжения</t>
  </si>
  <si>
    <t>Показатели качества питьевой воды</t>
  </si>
  <si>
    <t xml:space="preserve">Доля проб питьевой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 </t>
  </si>
  <si>
    <t>количество проб питьевой воды, отобранных по результатам производственного контроля, не соответствующих установленным требованиям</t>
  </si>
  <si>
    <t>х 100%</t>
  </si>
  <si>
    <t>общее количество отобранных проб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</si>
  <si>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</si>
  <si>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проб питьевой воды в распределительной водопроводной сети, отобранных по результатам производственного контроля качества питьевой воды, не соответствующих установленным требованиям</t>
  </si>
  <si>
    <t>1.2.</t>
  </si>
  <si>
    <t>Показатель надежности и бесперебойности централизованных систем водоснабжения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</si>
  <si>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 холодное водоснабжение, в расчете на протяженность водопроводной сети в год (ед./км)</t>
  </si>
  <si>
    <t>количество перерывов в подаче воды, зафиксированных в определенных договором холодного водоснабжения, единым договором водоснабжения и водоотведения или договором транспортировки холодной воды,  местах исполнения обязательств организации, осуществляющей  холодное водоснабжение по подаче холодной воды, определенных в соответствии с указанными договорами, произошедших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осуществляющей, холодное водоснабжение и (или) водоотведение</t>
  </si>
  <si>
    <t>протяженность водопроводной сети (км)</t>
  </si>
  <si>
    <t>1.3.</t>
  </si>
  <si>
    <t>Показатели энергетической
эффективности объектов централизованных систем 
холодного водоснабжения</t>
  </si>
  <si>
    <t>Доля потерь воды в централизованных системах водоснабжения при ее транспортировке в общем объеме воды, поданной в водопроводную сеть (процентов)</t>
  </si>
  <si>
    <t>объем потерь воды в централизованных системах водоснабжения при ее транспортировке</t>
  </si>
  <si>
    <t>общий объем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</si>
  <si>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 (кВт*ч/куб. м)</t>
  </si>
  <si>
    <t>общее количество электрической энергии, потребляемой в соответствующем технологическом процессе</t>
  </si>
  <si>
    <t>общий объем питьевой воды, в отношении которой осуществляется водоподготовка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</si>
  <si>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питьевой воды (кВт*ч/куб. м)</t>
  </si>
  <si>
    <t>общий объем транспортируемой питьевой воды</t>
  </si>
  <si>
    <t>2.</t>
  </si>
  <si>
    <t>Показатели в сфере горячего водоснабжения</t>
  </si>
  <si>
    <t>2.1.</t>
  </si>
  <si>
    <t>Показатели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</si>
  <si>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по температуре в общем объеме проб, отобранных по результатам производственного контроля качества горячей воды</t>
  </si>
  <si>
    <t>количество проб горячей воды в местах поставки горячей воды, отобранных по результатам производственного контроля качества горячей воды, не соответствующих установленным требованиям</t>
  </si>
  <si>
    <t xml:space="preserve"> общее количество отобранных проб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</si>
  <si>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 (процентов)</t>
  </si>
  <si>
    <t>количество проб горячей воды в тепловой сети или в сети горячего водоснабжения, отобранных по результатам производственного контроля качества горячей воды, не соответствующих установленным требованиям</t>
  </si>
  <si>
    <t xml:space="preserve"> общее количество проб, отобранных в тепловой сети или в сети горячего водоснабжения</t>
  </si>
  <si>
    <t>2.2.</t>
  </si>
  <si>
    <t>Количество перерывов в подаче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 (ед./км)</t>
  </si>
  <si>
    <t xml:space="preserve"> количество перерывов в подаче воды, зафиксированных в определенных договором  горячего водоснабжения, единым договором водоснабжения и водоотведения или договором транспортировки  горячей воды местах исполнения обязательств организации, осуществляющей горячее водоснабжение по подаче горячей воды, определенных в соответствии с указанными договорами, произошедших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 и (или) водоотведение</t>
  </si>
  <si>
    <t>2.3.</t>
  </si>
  <si>
    <t>Показатели энергетической
эффективности объектов централизованных систем 
горячего водоснабжения</t>
  </si>
  <si>
    <t>Доля потерь воды в централизованных системах горячего водоснабжения при ее транспортировке в общем объеме воды, поданной в водопроводную сеть (процентов)</t>
  </si>
  <si>
    <t>Удельное количество тепловой энергии, расходуемое на подогрев горячей воды (Гкал/куб. м)</t>
  </si>
  <si>
    <t>общее количество тепловой энергии, расходуемое на подогрев горячей воды;</t>
  </si>
  <si>
    <t xml:space="preserve"> объем подогретой горячей воды</t>
  </si>
  <si>
    <t>3.</t>
  </si>
  <si>
    <t>Показатели в сфере водоотведения</t>
  </si>
  <si>
    <t>3.1.</t>
  </si>
  <si>
    <t>Показатель надежности и бесперебойности водоотведения</t>
  </si>
  <si>
    <t>Удельное количество аварий и засоров в расчете на протяженность канализационной сети в год (ед./км)</t>
  </si>
  <si>
    <t>количество аварий и засоров на канализационных сетях</t>
  </si>
  <si>
    <t>протяженность канализационных сетей (км)</t>
  </si>
  <si>
    <t>3.2.</t>
  </si>
  <si>
    <t>Показатели качества очистки сточных вод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</si>
  <si>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(процентов)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</si>
  <si>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</si>
  <si>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</si>
  <si>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количество проб сточных вод, не соответствующих установленным нормативам допустимых сбросов, лимитам на сбросы</t>
  </si>
  <si>
    <t xml:space="preserve"> общее количество проб сточных вод</t>
  </si>
  <si>
    <t>3.3.</t>
  </si>
  <si>
    <t>Показатели энергетической
эффективности объектов водоотведения</t>
  </si>
  <si>
    <t>Удельный расход электрической энергии, потребляемой в технологическом процессе очистки сточных вод (кВт*ч/куб. м)</t>
  </si>
  <si>
    <t>общий объем сточных вод, подвергающихся очистке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</si>
  <si>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(кВт*ч/куб. м)</t>
  </si>
  <si>
    <t>общий объем транспортируемых сточных вод</t>
  </si>
  <si>
    <t>Агрегированный показатель качества, надежности  и энергетической эффективностив сфере холодного водоснабжения</t>
  </si>
  <si>
    <t>Агрегированный показатель качества, надежности  и энергетической эффективностив сфере горячего водоснабжения</t>
  </si>
  <si>
    <t>Агрегированный показатель качества, надежности  и энергетической эффективностив сфере водоотведения</t>
  </si>
  <si>
    <t>Агрегированный показатель качества, надежности  и энергетической эффективностив сфере горячего водоснабжения без учета показателей энергетической эффективности объектов централизованных систем горячего водоснабжения</t>
  </si>
  <si>
    <t>Агрегированный показатель качества, надежности  и энергетической эффективностив сфере водоотведения без учета показателей энергетической эффективности объектов централизованных систем водоотведения</t>
  </si>
  <si>
    <t>если все показатели с данными</t>
  </si>
  <si>
    <t>Агрегированный показатель качества</t>
  </si>
  <si>
    <t>_____________________________________</t>
  </si>
  <si>
    <t>(подпись)</t>
  </si>
  <si>
    <t>если первый показатель</t>
  </si>
  <si>
    <t>если второй показатель</t>
  </si>
  <si>
    <t>если третий показтель</t>
  </si>
  <si>
    <t>если 1 и 2 есть</t>
  </si>
  <si>
    <t>если 1 и 3 есть</t>
  </si>
  <si>
    <t>если 2 и 3 есть</t>
  </si>
  <si>
    <t xml:space="preserve"> ДПР с </t>
  </si>
  <si>
    <t>Отношение 2019 к 2023</t>
  </si>
  <si>
    <t>2п18</t>
  </si>
  <si>
    <t>2п19</t>
  </si>
  <si>
    <t>2п20</t>
  </si>
  <si>
    <t>2п21</t>
  </si>
  <si>
    <t>2п22</t>
  </si>
  <si>
    <t>2п23</t>
  </si>
  <si>
    <t>2п24</t>
  </si>
  <si>
    <t>2п25</t>
  </si>
  <si>
    <t>2п16</t>
  </si>
  <si>
    <t>2п17</t>
  </si>
  <si>
    <t>ОПР по КС/1 год ДПР</t>
  </si>
  <si>
    <t>корректировка</t>
  </si>
  <si>
    <t>для упрощенцев 1%</t>
  </si>
  <si>
    <t>Перераспределение расходов в соответствии с п.9 Основ ценообразования</t>
  </si>
  <si>
    <t>Наименование услуги</t>
  </si>
  <si>
    <t xml:space="preserve">Год </t>
  </si>
  <si>
    <t>Базовый уровень операционных расходов</t>
  </si>
  <si>
    <t>Индекс эффективности операционных расходов</t>
  </si>
  <si>
    <t>Уровень потерь питьевой воды</t>
  </si>
  <si>
    <t>Удельный расход электрической энергии</t>
  </si>
  <si>
    <t xml:space="preserve">   %    </t>
  </si>
  <si>
    <t>кВт.ч./куб.м</t>
  </si>
  <si>
    <t>Категория потребителей</t>
  </si>
  <si>
    <t>Период действия</t>
  </si>
  <si>
    <t>Тариф в рублях за куб. метр</t>
  </si>
  <si>
    <t>Питьевая вода (питьевое водоснабжение)</t>
  </si>
  <si>
    <t>Население, собственники жилых помещений и исполнители коммунальных услуг</t>
  </si>
  <si>
    <t xml:space="preserve">с 01.01.2024 по 30.06.2024 </t>
  </si>
  <si>
    <t>с 01.07.2024 по 31.12.2024</t>
  </si>
  <si>
    <t xml:space="preserve">с 01.01.2025 по 30.06.2025 </t>
  </si>
  <si>
    <t>с 01.07.2025 по 31.12.2025</t>
  </si>
  <si>
    <t xml:space="preserve">с 01.01.2026 по 30.06.2026 </t>
  </si>
  <si>
    <t>с 01.07.2026 по 31.12.2026</t>
  </si>
  <si>
    <t xml:space="preserve">с 01.01.2027 по 30.06.2027 </t>
  </si>
  <si>
    <t>с 01.07.2027 по 31.12.2027</t>
  </si>
  <si>
    <t xml:space="preserve">с 01.01.2028 по 30.06.2028 </t>
  </si>
  <si>
    <t>с 01.07.2028 по 31.12.2028</t>
  </si>
  <si>
    <t>Прочие потребители</t>
  </si>
  <si>
    <t>УСН</t>
  </si>
  <si>
    <t>ОСНО</t>
  </si>
  <si>
    <r>
      <t>Первый год первого</t>
    </r>
    <r>
      <rPr>
        <b/>
        <sz val="16"/>
        <color indexed="1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>долгосрочного периода регулирования</t>
    </r>
  </si>
  <si>
    <t>Тариф с 1.01. по 30.06. НДС</t>
  </si>
  <si>
    <t>Тариф с 1.07. по 31.12. с НДС</t>
  </si>
  <si>
    <t>10</t>
  </si>
  <si>
    <t xml:space="preserve">СЧИТАЕМ САМИ </t>
  </si>
  <si>
    <t>Налог на доходы</t>
  </si>
  <si>
    <t>если 1- наказываем, если 0 - нет</t>
  </si>
  <si>
    <t>Объем транспортируемых сточных вод, всего</t>
  </si>
  <si>
    <t>1.2.1</t>
  </si>
  <si>
    <t>на собственные очистные сооружения (прошедших очистку на собственных очистных сооружениях)</t>
  </si>
  <si>
    <t>1.2.2</t>
  </si>
  <si>
    <t>передано на очистку другим организациям</t>
  </si>
  <si>
    <t>Объем сточных вод, принятых у абонентов, всего</t>
  </si>
  <si>
    <t xml:space="preserve">    от подразделений предприятия (собственных абонентов)</t>
  </si>
  <si>
    <t xml:space="preserve"> от бюджетных потребителей</t>
  </si>
  <si>
    <t>1.1.3</t>
  </si>
  <si>
    <t xml:space="preserve"> от прочих потребителей</t>
  </si>
  <si>
    <t>1.1.4</t>
  </si>
  <si>
    <t xml:space="preserve">  от населения</t>
  </si>
  <si>
    <t>Смета расходов на водоотведение методом индексации</t>
  </si>
  <si>
    <t>Удельный расход электроэнергии</t>
  </si>
  <si>
    <t>Количество канализационных насосных станций</t>
  </si>
  <si>
    <t>Наличие очистных сооружений</t>
  </si>
  <si>
    <t>Протяженность канализационных сетей</t>
  </si>
  <si>
    <t xml:space="preserve">ПРОВЕРЯЕМ В РЕЕСТРЕ МИКРОПРЕДПРИЯТИЙ </t>
  </si>
  <si>
    <t>Доля проб сточных вод, не соответствующих установленным нормативам допустимых сбросов, лимитам на сбросы, рассчитанная применительно рассчитанная применительно для централизованной общесплавной (бытовой) системы водоотведения</t>
  </si>
  <si>
    <t xml:space="preserve">Агрегированный показатель качества, надежности  и энергетической эффективностив сфере холодного водоснабжениябез учета показателей энергетической эффективности объектов централизованных систем  холодного водоснабжения </t>
  </si>
  <si>
    <t>Руководитель</t>
  </si>
  <si>
    <t>СЧИТАЕМ САМИ!!!</t>
  </si>
  <si>
    <t>Раздел 1. Паспорт производственной программы</t>
  </si>
  <si>
    <t xml:space="preserve">Регулируемая организация </t>
  </si>
  <si>
    <t>Местонахождение</t>
  </si>
  <si>
    <t>Уполномоченный орган регулирования</t>
  </si>
  <si>
    <t>Период реализации производственной программы</t>
  </si>
  <si>
    <t>Раздел 2. Перечень мероприятий по ремонту объектов централизованных систем водоснабжения и водоотведения, мероприятий, направленных на улучшение качества питьевой воды и качества очистки сточных вод, мероприятий по энергосбережению и повышению энергетической эффективности, в том числе по снижению потерь воды при транспортировке</t>
  </si>
  <si>
    <t>№</t>
  </si>
  <si>
    <t>Наименование</t>
  </si>
  <si>
    <t>Единица измерения</t>
  </si>
  <si>
    <t>Финансовые потребности на реализацию</t>
  </si>
  <si>
    <t>Показатели производственной деятельности</t>
  </si>
  <si>
    <t>Величина показателя</t>
  </si>
  <si>
    <t>тыс.м3</t>
  </si>
  <si>
    <t>населению</t>
  </si>
  <si>
    <t>прочие потребители</t>
  </si>
  <si>
    <t>Отпуск (реализация) услуг всего, в т.ч.:</t>
  </si>
  <si>
    <t>от бюджетных потребителей</t>
  </si>
  <si>
    <t>бюджетным организациям</t>
  </si>
  <si>
    <t>от населения, исполнителей коммунальных услуг (УК, ТСЖ и пр.)</t>
  </si>
  <si>
    <t>от прочих</t>
  </si>
  <si>
    <t>Наименование показателя</t>
  </si>
  <si>
    <t>1</t>
  </si>
  <si>
    <t>Наименование мероприятия</t>
  </si>
  <si>
    <t>ед./км</t>
  </si>
  <si>
    <t>Показатели энергетической эффективности</t>
  </si>
  <si>
    <t>кВт*ч/куб.м</t>
  </si>
  <si>
    <t xml:space="preserve">Показатели качества очистки сточных вод </t>
  </si>
  <si>
    <t>Показатели надежности и бесперебойности водоотведения</t>
  </si>
  <si>
    <t>Величина показателя планируемого периода</t>
  </si>
  <si>
    <t>Сопоставление динамики изменения</t>
  </si>
  <si>
    <t>Региональная служба по тарифам Кировской области</t>
  </si>
  <si>
    <t>0,27/ 0,25/ 0,23</t>
  </si>
  <si>
    <t>0/ 0/ 0</t>
  </si>
  <si>
    <t xml:space="preserve">Удельное количество аварий и засоров в расчете на протяженность канализационной сети в год (ед./км) </t>
  </si>
  <si>
    <t>1,41/ 1,40/ 1,39</t>
  </si>
  <si>
    <t>4</t>
  </si>
  <si>
    <t>5</t>
  </si>
  <si>
    <t>Примечание</t>
  </si>
  <si>
    <t>Контроль очистки сточных вод</t>
  </si>
  <si>
    <t>Мероприятия, направленные на улучшение качества очистки сточных вод, мероприятий по энергосбережению и повышению энергетической эффективности</t>
  </si>
  <si>
    <t>Зарплата ОПП, отчисления ОПП, сырье и основные материалы, ремонт, услуги</t>
  </si>
  <si>
    <t>Раздел 7. Расчет эффективности производственной программы, осуществляемый путем сопоставления динамики изменения плановых значений показателей надежности, качества и энергетической эффективности объектов централизованных систем водоснабжения и водоотведения и расходов на реализацию производственной программы в течении срока её действия</t>
  </si>
  <si>
    <t>Раздел 4. Объем финансовых потребностей, необходимых для реализации производственной программы</t>
  </si>
  <si>
    <t>Раздел 5. График реализации мероприятий производственной программы</t>
  </si>
  <si>
    <t>Раздел 8. Отчет об исполнении производственной программы за истекший период регулирования</t>
  </si>
  <si>
    <t>Раздел 9. Мероприятия, направленные на повышение качества обслуживания абонентов</t>
  </si>
  <si>
    <t>Объем принятых сточных вод</t>
  </si>
  <si>
    <t>тыс. куб.м</t>
  </si>
  <si>
    <t>Мероприятия, направленные на повышение качества обслуживания абонентов не планируются</t>
  </si>
  <si>
    <t>факт по данным организации</t>
  </si>
  <si>
    <t>Факт за 2022 год</t>
  </si>
  <si>
    <t>План на 2022 год</t>
  </si>
  <si>
    <t>Операционные расходы, в том числе:</t>
  </si>
  <si>
    <t>Итого финансовые потребности за счет тарифных источников</t>
  </si>
  <si>
    <t>За счет платы за негативное воздействие на централизованную систему водоотведения</t>
  </si>
  <si>
    <t xml:space="preserve">Принято сточных вод для передачи (транспортировки), всего, в т.ч.: </t>
  </si>
  <si>
    <t>Раздел 3. Принято сточных вод</t>
  </si>
  <si>
    <t>Период реализации</t>
  </si>
  <si>
    <t>2.1</t>
  </si>
  <si>
    <t>Д псвно</t>
  </si>
  <si>
    <t xml:space="preserve">         - Ремонт за счет тарифных источников</t>
  </si>
  <si>
    <t xml:space="preserve">         - Контроль качества очистки сточных вод</t>
  </si>
  <si>
    <t>Показатели качества очистки сточных вод, надежности и бесперебойности услуги водоотведения</t>
  </si>
  <si>
    <t>Зарплата ОПП+цех+рем, отчисления ОПП+цех+рем, сырье и основные материалы, ремонт, услуги</t>
  </si>
  <si>
    <t>2024 год</t>
  </si>
  <si>
    <t>2025 год</t>
  </si>
  <si>
    <t>2026 год</t>
  </si>
  <si>
    <t>2027 год</t>
  </si>
  <si>
    <t>2028 год</t>
  </si>
  <si>
    <t>к решению правления</t>
  </si>
  <si>
    <t>РСТ Кировской области</t>
  </si>
  <si>
    <t>Приложение № 4</t>
  </si>
  <si>
    <t>2.2</t>
  </si>
  <si>
    <t>Финансовые потребности за счет тарифных источников (без учета расходов на инвестиции), в том числе:</t>
  </si>
  <si>
    <t>Всего за счет тарифных и прочих источников</t>
  </si>
  <si>
    <t>подпункт "а" пункта 12 приказа Минстроя России от 04.04.2014 № 162/пр</t>
  </si>
  <si>
    <t>подпункт "в" пункта 12 приказа Минстроя России от 04.04.2014 № 162/пр</t>
  </si>
  <si>
    <t>подпункт "д" пункта 13 приказа Минстроя России от 04.04.2014 № 162/пр</t>
  </si>
  <si>
    <t>пункт 11 приказа Минстроя России от 04.04.2014 № 162/пр</t>
  </si>
  <si>
    <t>6.1</t>
  </si>
  <si>
    <t>6.2</t>
  </si>
  <si>
    <t>6.3</t>
  </si>
  <si>
    <t>г. Киров, ул.Дерендяева, д.23</t>
  </si>
  <si>
    <t xml:space="preserve">                                                                                                                              ___________________</t>
  </si>
  <si>
    <t>Раздел 6. Плановые значения показателей надежности, качества и энергетической эффективности объектов централизованных систем водоснабжения и водоотведения (определяются в соответствии с приказом Минстроя России от 04.04.2014 № 162/пр "Об утверждении перечня показателей надежности, качества, энергетической эффективности объектов централизованных систем горячего водоснабжения, холодного водоснабжения и (или) водоотведения, порядка и правил определения плановых значений и фактических значений таких показателей" (далее -  приказ Минстроя России от 04.04.2014 № 162/пр )</t>
  </si>
  <si>
    <t>Текущий и капитальный ремонт и обслуживание объектов централизованной системы водоотведения за счет тарифных источников</t>
  </si>
  <si>
    <t>Текущий и капитальный ремонт и обслуживание объектов централизованной системы водоотведения за счет платы за негативное воздействие на централизованную систему водоотведения</t>
  </si>
  <si>
    <t>________________</t>
  </si>
  <si>
    <t xml:space="preserve">План </t>
  </si>
  <si>
    <t xml:space="preserve">предложение предприятия </t>
  </si>
  <si>
    <t xml:space="preserve">План                         (в среднем за год) </t>
  </si>
  <si>
    <t>2п26</t>
  </si>
  <si>
    <t>2п27</t>
  </si>
  <si>
    <t>2п28</t>
  </si>
  <si>
    <t>У</t>
  </si>
  <si>
    <t>Изменение количества условных метров канализационной сети</t>
  </si>
  <si>
    <t>2029 год</t>
  </si>
  <si>
    <t>МКП Коммунальные системы Вятскополянский район Среднетойменское с/п</t>
  </si>
  <si>
    <r>
      <t xml:space="preserve">План (установлено с 1 июля </t>
    </r>
    <r>
      <rPr>
        <b/>
        <sz val="16"/>
        <color rgb="FFFF0000"/>
        <rFont val="Times New Roman"/>
        <family val="1"/>
        <charset val="204"/>
      </rPr>
      <t>2021</t>
    </r>
    <r>
      <rPr>
        <b/>
        <sz val="16"/>
        <rFont val="Times New Roman"/>
        <family val="1"/>
        <charset val="204"/>
      </rPr>
      <t xml:space="preserve"> года)</t>
    </r>
  </si>
  <si>
    <t>Корректировка НВВ за 2023 год</t>
  </si>
  <si>
    <t>нет</t>
  </si>
  <si>
    <t xml:space="preserve">  -3,29 всё дали в 2023</t>
  </si>
  <si>
    <t>Тариф с 1.01. по 30.06. с НДС</t>
  </si>
  <si>
    <t>предложение предприятия с учетом дополнительных расходов  письмом от 25.09.2024</t>
  </si>
  <si>
    <t>ремонт канал колод</t>
  </si>
  <si>
    <t>по смете</t>
  </si>
  <si>
    <t>матер</t>
  </si>
  <si>
    <t>маш</t>
  </si>
  <si>
    <t>фот</t>
  </si>
  <si>
    <t>наклад</t>
  </si>
  <si>
    <t>смет</t>
  </si>
  <si>
    <t>транспорт</t>
  </si>
  <si>
    <t>итого</t>
  </si>
  <si>
    <t>дельта,</t>
  </si>
  <si>
    <t>очистка и ремон резерв КК32-кк37</t>
  </si>
  <si>
    <t>очистка и ремон резерв КК38-кк42</t>
  </si>
  <si>
    <r>
      <t xml:space="preserve">ремонт трубопро кк31-кк32 </t>
    </r>
    <r>
      <rPr>
        <sz val="10"/>
        <color rgb="FFFF0000"/>
        <rFont val="Arial"/>
        <family val="2"/>
        <charset val="204"/>
      </rPr>
      <t>9м</t>
    </r>
  </si>
  <si>
    <r>
      <t xml:space="preserve">ремонт трубопро кк17-кк19 </t>
    </r>
    <r>
      <rPr>
        <sz val="10"/>
        <color rgb="FFFF0000"/>
        <rFont val="Arial"/>
        <family val="2"/>
        <charset val="204"/>
      </rPr>
      <t>91м</t>
    </r>
    <r>
      <rPr>
        <sz val="10"/>
        <rFont val="Arial"/>
        <family val="2"/>
        <charset val="204"/>
      </rPr>
      <t xml:space="preserve"> ул Молодеж</t>
    </r>
  </si>
  <si>
    <t>ИТОГО</t>
  </si>
  <si>
    <t>План                                       (в среднем за год)</t>
  </si>
  <si>
    <t>Расходы на оплату работ и услуг, выполняемых сторонними организациями, связанные с эксплуатацией централизованных систем водоотведения</t>
  </si>
  <si>
    <t>Расходы на текущий ремонт централизованных систем водоотведения</t>
  </si>
  <si>
    <t>Расходы на капитальный ремонт централизованных систем водоотведения</t>
  </si>
  <si>
    <t>Арендная плата, лизинговые платежи, не связанные с арендой (лизингом) централизованных систем водоотведения</t>
  </si>
  <si>
    <t>Налог на прибыль</t>
  </si>
  <si>
    <t>3.9.</t>
  </si>
  <si>
    <t>Амортизация основных средств и нематериальных активов, относимых к объектам централизованной системы водоотведения</t>
  </si>
  <si>
    <t>Отклонение фактически достигнутого объема очищенных сточных вод</t>
  </si>
  <si>
    <t>2022 ujl</t>
  </si>
  <si>
    <t>план</t>
  </si>
  <si>
    <t>факт</t>
  </si>
  <si>
    <t>Корректировка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 за 2023 год</t>
  </si>
  <si>
    <t>Тариф на питьевую воду (питьевое водоснабжение) с НДС 5%</t>
  </si>
  <si>
    <t xml:space="preserve"> ул. Центральная, д. 4а, дер. Гремячка, Вятскополянский район, Кировская область, 612985</t>
  </si>
  <si>
    <t>с 01.01.2025 по 31.12.2029</t>
  </si>
  <si>
    <t>от_____________№____________</t>
  </si>
  <si>
    <t>Производственная программа в сфере водоотведения МКП "Коммунальные системы" Вятскополянского района Кировской области на 2025-2029 годы</t>
  </si>
  <si>
    <t xml:space="preserve"> "Коммунальные системы" Вятскополянского района</t>
  </si>
  <si>
    <t>План на 2023 год</t>
  </si>
  <si>
    <t>Факт за 2023 год</t>
  </si>
  <si>
    <t>21. Расчет тарифа методом индексации</t>
  </si>
  <si>
    <t>2023 год</t>
  </si>
  <si>
    <t>2030 год</t>
  </si>
  <si>
    <t>2031 год</t>
  </si>
  <si>
    <t>2032 год</t>
  </si>
  <si>
    <t>2033 год</t>
  </si>
  <si>
    <t>2034 год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</si>
  <si>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</si>
  <si>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</si>
  <si>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</si>
  <si>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</si>
  <si>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</si>
  <si>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</si>
  <si>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</si>
  <si>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</si>
  <si>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</si>
  <si>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</si>
  <si>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L1_1</t>
  </si>
  <si>
    <t>коэффициент индекса операционных расходов</t>
  </si>
  <si>
    <t>L1_2</t>
  </si>
  <si>
    <t>Производственные расходы:</t>
  </si>
  <si>
    <t>L1_2_1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</si>
  <si>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</si>
  <si>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</si>
  <si>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</si>
  <si>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</si>
  <si>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</si>
  <si>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</si>
  <si>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</si>
  <si>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</si>
  <si>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</si>
  <si>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</si>
  <si>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</si>
  <si>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</si>
  <si>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</si>
  <si>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</si>
  <si>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</si>
  <si>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</si>
  <si>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</si>
  <si>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</si>
  <si>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</si>
  <si>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</si>
  <si>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</si>
  <si>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</si>
  <si>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</si>
  <si>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</si>
  <si>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</si>
  <si>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</si>
  <si>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</si>
  <si>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</si>
  <si>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</si>
  <si>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</si>
  <si>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</si>
  <si>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</si>
  <si>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</si>
  <si>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</si>
  <si>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</si>
  <si>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</si>
  <si>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</si>
  <si>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</si>
  <si>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</si>
  <si>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</si>
  <si>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</si>
  <si>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https://data-platform.ru/lk/files/Files/HiDzdd/787b620a-4c04-49b4-8021-634d7a47f2fa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</si>
  <si>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</si>
  <si>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</si>
  <si>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</si>
  <si>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</si>
  <si>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</si>
  <si>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</si>
  <si>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</si>
  <si>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Ремонтные расходы:</t>
  </si>
  <si>
    <t>L1_3_1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</si>
  <si>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</si>
  <si>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</si>
  <si>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</si>
  <si>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</si>
  <si>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</si>
  <si>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</si>
  <si>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</si>
  <si>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</si>
  <si>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</si>
  <si>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</si>
  <si>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</si>
  <si>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</si>
  <si>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</si>
  <si>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</si>
  <si>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</si>
  <si>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</si>
  <si>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</si>
  <si>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</si>
  <si>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</si>
  <si>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</si>
  <si>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</si>
  <si>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</si>
  <si>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</si>
  <si>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</si>
  <si>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</si>
  <si>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</si>
  <si>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</si>
  <si>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</si>
  <si>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</si>
  <si>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</si>
  <si>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</si>
  <si>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</si>
  <si>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</si>
  <si>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</si>
  <si>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</si>
  <si>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</si>
  <si>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</si>
  <si>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</si>
  <si>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</si>
  <si>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</si>
  <si>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</si>
  <si>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</si>
  <si>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</si>
  <si>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</si>
  <si>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</si>
  <si>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</si>
  <si>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</si>
  <si>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</si>
  <si>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</si>
  <si>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</si>
  <si>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</si>
  <si>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</si>
  <si>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</si>
  <si>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</si>
  <si>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</si>
  <si>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</si>
  <si>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</si>
  <si>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</si>
  <si>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</si>
  <si>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</si>
  <si>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</si>
  <si>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</si>
  <si>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</si>
  <si>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</si>
  <si>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</si>
  <si>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</si>
  <si>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</si>
  <si>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</si>
  <si>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</si>
  <si>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</si>
  <si>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</si>
  <si>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</si>
  <si>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</si>
  <si>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</si>
  <si>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</si>
  <si>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</si>
  <si>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</si>
  <si>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</si>
  <si>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</si>
  <si>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</si>
  <si>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</si>
  <si>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</si>
  <si>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</si>
  <si>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</si>
  <si>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</si>
  <si>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</si>
  <si>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</si>
  <si>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</si>
  <si>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</si>
  <si>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</si>
  <si>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</si>
  <si>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Сбытовые расходы гарантирующих организаций (за исключением указанных в п.2.6)</t>
  </si>
  <si>
    <t>L1_6</t>
  </si>
  <si>
    <t>Реагенты до 2020 года</t>
  </si>
  <si>
    <t>L1_7</t>
  </si>
  <si>
    <t>Операционные расходы по концессионным соглашениям</t>
  </si>
  <si>
    <t>1.7.0</t>
  </si>
  <si>
    <t>Добавить</t>
  </si>
  <si>
    <t>L2</t>
  </si>
  <si>
    <t>L2_1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</si>
  <si>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</si>
  <si>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</si>
  <si>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</si>
  <si>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</si>
  <si>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</si>
  <si>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</si>
  <si>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</si>
  <si>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</si>
  <si>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</si>
  <si>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</si>
  <si>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</si>
  <si>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</si>
  <si>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</si>
  <si>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</si>
  <si>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</si>
  <si>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</si>
  <si>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</si>
  <si>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</si>
  <si>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</si>
  <si>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L2_1_6</t>
  </si>
  <si>
    <t>2.1.6</t>
  </si>
  <si>
    <t>L2_1_7</t>
  </si>
  <si>
    <t>2.1.7</t>
  </si>
  <si>
    <t>Затраты на водоотведение</t>
  </si>
  <si>
    <t>L2_1_8</t>
  </si>
  <si>
    <t>2.1.8</t>
  </si>
  <si>
    <t>Затраты на транспортировку сточных вод</t>
  </si>
  <si>
    <t>L2_1_9</t>
  </si>
  <si>
    <t>2.1.9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</si>
  <si>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</si>
  <si>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</si>
  <si>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</si>
  <si>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</si>
  <si>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</si>
  <si>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Расходы на реагенты</t>
  </si>
  <si>
    <t>L2_3</t>
  </si>
  <si>
    <t>2.3</t>
  </si>
  <si>
    <t>Налоги и сборы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</si>
  <si>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</si>
  <si>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</si>
  <si>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</si>
  <si>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</si>
  <si>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</si>
  <si>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</si>
  <si>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</si>
  <si>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</si>
  <si>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</si>
  <si>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</si>
  <si>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</si>
  <si>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</si>
  <si>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</si>
  <si>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</si>
  <si>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</si>
  <si>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</si>
  <si>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</si>
  <si>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</si>
  <si>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L2_3_6</t>
  </si>
  <si>
    <t>2.3.6</t>
  </si>
  <si>
    <t>транспортный налог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</si>
  <si>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</si>
  <si>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</si>
  <si>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</si>
  <si>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</si>
  <si>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</si>
  <si>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</si>
  <si>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</si>
  <si>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</si>
  <si>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</si>
  <si>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</si>
  <si>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</si>
  <si>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</si>
  <si>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</si>
  <si>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</si>
  <si>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</si>
  <si>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</si>
  <si>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</si>
  <si>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</si>
  <si>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</si>
  <si>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резерв по сомнительным долгам гарантирующей организации</t>
  </si>
  <si>
    <t>L2_6_1</t>
  </si>
  <si>
    <t>2.6.1</t>
  </si>
  <si>
    <t>L2_7</t>
  </si>
  <si>
    <t>2.7</t>
  </si>
  <si>
    <t>L2_8</t>
  </si>
  <si>
    <t>2.8</t>
  </si>
  <si>
    <t>L2_9</t>
  </si>
  <si>
    <t>2.9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</si>
  <si>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</si>
  <si>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</si>
  <si>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</si>
  <si>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</si>
  <si>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</si>
  <si>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</si>
  <si>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</si>
  <si>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</si>
  <si>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</si>
  <si>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</si>
  <si>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</si>
  <si>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</si>
  <si>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</si>
  <si>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</si>
  <si>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Расходы на электрическую энергию</t>
  </si>
  <si>
    <t>амортизация</t>
  </si>
  <si>
    <t>L4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</si>
  <si>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</si>
  <si>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</si>
  <si>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в том числе инвестиционная (справочно)</t>
  </si>
  <si>
    <t>L5</t>
  </si>
  <si>
    <t>L5_1</t>
  </si>
  <si>
    <t>средства на возврат инвестиционных займов</t>
  </si>
  <si>
    <t>L5_2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</si>
  <si>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</si>
  <si>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</si>
  <si>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</si>
  <si>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</si>
  <si>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</si>
  <si>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</si>
  <si>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</si>
  <si>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</si>
  <si>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L6</t>
  </si>
  <si>
    <t>L11</t>
  </si>
  <si>
    <t>L7_0</t>
  </si>
  <si>
    <t>Корректировка НВВ всего</t>
  </si>
  <si>
    <t>Справочно в том числе:</t>
  </si>
  <si>
    <t>L7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</si>
  <si>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</si>
  <si>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</si>
  <si>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</si>
  <si>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</si>
  <si>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</si>
  <si>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</si>
  <si>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</si>
  <si>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</si>
  <si>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</si>
  <si>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</si>
  <si>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</si>
  <si>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</si>
  <si>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</si>
  <si>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</si>
  <si>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</si>
  <si>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</si>
  <si>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</si>
  <si>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</si>
  <si>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</si>
  <si>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</si>
  <si>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</si>
  <si>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</si>
  <si>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</si>
  <si>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</si>
  <si>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</si>
  <si>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</si>
  <si>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</si>
  <si>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</si>
  <si>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</si>
  <si>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Величина сглаживания НВВ</t>
  </si>
  <si>
    <t>L10_1</t>
  </si>
  <si>
    <t>8.1</t>
  </si>
  <si>
    <t>% сглаживания НВВ</t>
  </si>
  <si>
    <t>Необходимая валовая выручка</t>
  </si>
  <si>
    <t>L18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</si>
  <si>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</si>
  <si>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</si>
  <si>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</si>
  <si>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</si>
  <si>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</si>
  <si>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</si>
  <si>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</si>
  <si>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</si>
  <si>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</si>
  <si>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</si>
  <si>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</si>
  <si>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</si>
  <si>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</si>
  <si>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</si>
  <si>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</si>
  <si>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</si>
  <si>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</si>
  <si>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</si>
  <si>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</si>
  <si>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</si>
  <si>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</si>
  <si>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</si>
  <si>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</si>
  <si>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</si>
  <si>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</si>
  <si>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</si>
  <si>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</si>
  <si>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</si>
  <si>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</si>
  <si>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</si>
  <si>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</si>
  <si>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</si>
  <si>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</si>
  <si>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</si>
  <si>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</si>
  <si>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</si>
  <si>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</si>
  <si>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</si>
  <si>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</si>
  <si>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</si>
  <si>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</si>
  <si>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</si>
  <si>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</si>
  <si>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</si>
  <si>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</si>
  <si>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</si>
  <si>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</si>
  <si>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</si>
  <si>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</si>
  <si>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</si>
  <si>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</si>
  <si>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</si>
  <si>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</si>
  <si>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</si>
  <si>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</si>
  <si>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</si>
  <si>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</si>
  <si>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</si>
  <si>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</si>
  <si>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>Кировская область / 2025 / МКП "Коммунальные системы" (ИНН:4307012010, КПП:430701001) / ДПР: 2025-2029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</si>
</sst>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00000"/>
    <numFmt numFmtId="166" formatCode="0.0%"/>
    <numFmt numFmtId="167" formatCode="#,##0.000"/>
    <numFmt numFmtId="168" formatCode="_-* #,##0.00_р_._-;\-* #,##0.00_р_._-;_-* &quot;-&quot;??_р_._-;_-@_-"/>
    <numFmt numFmtId="169" formatCode="#,##0.000_ ;\-#,##0.000\ "/>
    <numFmt numFmtId="170" formatCode="#,##0_ ;\-#,##0\ "/>
    <numFmt numFmtId="171" formatCode="0.0"/>
  </numFmts>
  <fonts count="63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charset val="204"/>
    </font>
    <font>
      <sz val="10"/>
      <name val="Arial Cy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u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9"/>
      <color rgb="FF000000"/>
      <name val="Tahoma"/>
      <family val="2"/>
      <charset val="204"/>
    </font>
    <font>
      <sz val="9"/>
      <color rgb="FF000080"/>
      <name val="Tahoma"/>
      <family val="2"/>
      <charset val="204"/>
    </font>
    <font>
      <sz val="9"/>
      <color theme="0"/>
      <name val="Tahoma"/>
      <family val="2"/>
      <charset val="204"/>
    </font>
    <font>
      <sz val="9"/>
      <color theme="1"/>
      <name val="Tahoma"/>
      <family val="2"/>
      <charset val="204"/>
    </font>
    <font>
      <sz val="1"/>
      <color theme="0"/>
      <name val="Tahoma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FFC0"/>
      </patternFill>
    </fill>
    <fill>
      <patternFill patternType="solid">
        <fgColor rgb="FFE3FAFD"/>
      </patternFill>
    </fill>
    <fill>
      <patternFill patternType="solid">
        <fgColor rgb="FFD7EAD3"/>
      </patternFill>
    </fill>
    <fill>
      <patternFill patternType="lightDown">
        <fgColor rgb="FF99CC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rgb="FFC0C0C0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1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7" fillId="0" borderId="0"/>
    <xf numFmtId="0" fontId="3" fillId="0" borderId="0"/>
    <xf numFmtId="0" fontId="42" fillId="0" borderId="0" applyFill="0" applyBorder="0"/>
    <xf numFmtId="0" fontId="43" fillId="0" borderId="54" applyFill="0">
      <alignment horizontal="center" vertical="center" wrapText="1"/>
    </xf>
    <xf numFmtId="0" fontId="42" fillId="13" borderId="0" applyBorder="0">
      <alignment horizontal="center" vertical="center"/>
      <protection locked="0"/>
    </xf>
    <xf numFmtId="0" fontId="43" fillId="0" borderId="54" applyFill="0">
      <alignment horizontal="center" vertical="center"/>
    </xf>
    <xf numFmtId="0" fontId="43" fillId="0" borderId="55" applyFill="0">
      <alignment horizontal="right" vertical="center" wrapText="1" indent="1"/>
    </xf>
    <xf numFmtId="0" fontId="43" fillId="0" borderId="56" applyFill="0">
      <alignment horizontal="right" vertical="center" wrapText="1" indent="1"/>
    </xf>
    <xf numFmtId="0" fontId="42" fillId="0" borderId="57" applyFill="0">
      <alignment horizontal="center" vertical="center" wrapText="1"/>
    </xf>
    <xf numFmtId="0" fontId="42" fillId="0" borderId="55" applyFill="0">
      <alignment horizontal="right" vertical="center" wrapText="1" indent="1"/>
    </xf>
    <xf numFmtId="0" fontId="42" fillId="0" borderId="56" applyFill="0">
      <alignment horizontal="right" vertical="center" wrapText="1" indent="1"/>
    </xf>
    <xf numFmtId="0" fontId="42" fillId="0" borderId="58" applyFill="0">
      <alignment horizontal="center" vertical="center" wrapText="1"/>
    </xf>
    <xf numFmtId="0" fontId="42" fillId="0" borderId="59" applyFill="0">
      <alignment horizontal="center" vertical="center"/>
    </xf>
    <xf numFmtId="2" fontId="42" fillId="14" borderId="59">
      <alignment horizontal="center" vertical="center" wrapText="1"/>
      <protection locked="0"/>
    </xf>
    <xf numFmtId="0" fontId="42" fillId="0" borderId="60" applyFill="0">
      <alignment horizontal="center" vertical="center" wrapText="1"/>
    </xf>
    <xf numFmtId="2" fontId="42" fillId="14" borderId="61">
      <alignment horizontal="center" vertical="center" wrapText="1"/>
      <protection locked="0"/>
    </xf>
    <xf numFmtId="2" fontId="42" fillId="14" borderId="62">
      <alignment horizontal="center" vertical="center" wrapText="1"/>
      <protection locked="0"/>
    </xf>
    <xf numFmtId="2" fontId="42" fillId="14" borderId="63">
      <alignment horizontal="center" vertical="center" wrapText="1"/>
      <protection locked="0"/>
    </xf>
    <xf numFmtId="0" fontId="42" fillId="0" borderId="55" applyFill="0">
      <alignment horizontal="center" vertical="center" wrapText="1"/>
    </xf>
    <xf numFmtId="0" fontId="42" fillId="0" borderId="64" applyFill="0">
      <alignment horizontal="center" vertical="center" wrapText="1"/>
    </xf>
    <xf numFmtId="0" fontId="42" fillId="0" borderId="65" applyFill="0">
      <alignment horizontal="center" vertical="center" wrapText="1"/>
    </xf>
    <xf numFmtId="0" fontId="42" fillId="0" borderId="66" applyFill="0">
      <alignment horizontal="center" vertical="center" wrapText="1"/>
    </xf>
    <xf numFmtId="0" fontId="42" fillId="0" borderId="67" applyFill="0">
      <alignment horizontal="center" vertical="center" wrapText="1"/>
    </xf>
    <xf numFmtId="0" fontId="42" fillId="0" borderId="56" applyFill="0">
      <alignment horizontal="center" vertical="center" wrapText="1"/>
    </xf>
    <xf numFmtId="0" fontId="42" fillId="0" borderId="54" applyFill="0">
      <alignment horizontal="center" vertical="center" wrapText="1"/>
    </xf>
    <xf numFmtId="0" fontId="42" fillId="0" borderId="68" applyFill="0">
      <alignment vertical="center"/>
    </xf>
    <xf numFmtId="0" fontId="42" fillId="0" borderId="69" applyFill="0">
      <alignment horizontal="center" vertical="center" wrapText="1"/>
    </xf>
    <xf numFmtId="0" fontId="42" fillId="0" borderId="70" applyFill="0">
      <alignment horizontal="center" vertical="center" wrapText="1"/>
    </xf>
    <xf numFmtId="0" fontId="42" fillId="0" borderId="59" applyFill="0">
      <alignment horizontal="center" vertical="center" wrapText="1"/>
    </xf>
    <xf numFmtId="0" fontId="42" fillId="0" borderId="56" applyFill="0">
      <alignment horizontal="left" vertical="center" wrapText="1"/>
    </xf>
    <xf numFmtId="0" fontId="42" fillId="0" borderId="54" applyFill="0">
      <alignment horizontal="left" vertical="center" wrapText="1"/>
    </xf>
    <xf numFmtId="0" fontId="42" fillId="0" borderId="55" applyFill="0">
      <alignment horizontal="center" vertical="center"/>
    </xf>
    <xf numFmtId="49" fontId="42" fillId="0" borderId="55" applyFill="0">
      <alignment horizontal="center" vertical="center" wrapText="1"/>
    </xf>
    <xf numFmtId="0" fontId="42" fillId="0" borderId="71" applyFill="0">
      <alignment horizontal="left" vertical="center" wrapText="1"/>
    </xf>
    <xf numFmtId="4" fontId="42" fillId="15" borderId="55">
      <alignment vertical="center" wrapText="1"/>
    </xf>
    <xf numFmtId="4" fontId="42" fillId="15" borderId="56">
      <alignment vertical="center" wrapText="1"/>
    </xf>
    <xf numFmtId="0" fontId="44" fillId="0" borderId="0" applyFill="0" applyBorder="0"/>
    <xf numFmtId="49" fontId="45" fillId="16" borderId="56">
      <alignment horizontal="center" vertical="center"/>
    </xf>
    <xf numFmtId="0" fontId="45" fillId="16" borderId="72">
      <alignment horizontal="left" vertical="center" indent="1"/>
    </xf>
    <xf numFmtId="49" fontId="45" fillId="16" borderId="54">
      <alignment horizontal="center" vertical="center"/>
    </xf>
    <xf numFmtId="0" fontId="42" fillId="0" borderId="69" applyFill="0">
      <alignment horizontal="left" vertical="center" wrapText="1"/>
    </xf>
    <xf numFmtId="0" fontId="42" fillId="0" borderId="64" applyFill="0">
      <alignment horizontal="center" vertical="center"/>
    </xf>
    <xf numFmtId="0" fontId="42" fillId="0" borderId="65" applyFill="0">
      <alignment horizontal="center" vertical="center"/>
    </xf>
    <xf numFmtId="0" fontId="42" fillId="0" borderId="66" applyFill="0">
      <alignment horizontal="center" vertical="center"/>
    </xf>
    <xf numFmtId="0" fontId="42" fillId="0" borderId="60" applyFill="0">
      <alignment horizontal="center" vertical="center"/>
    </xf>
    <xf numFmtId="0" fontId="42" fillId="0" borderId="69" applyFill="0">
      <alignment horizontal="center" vertical="center"/>
    </xf>
    <xf numFmtId="0" fontId="42" fillId="0" borderId="70" applyFill="0">
      <alignment horizontal="center" vertical="center"/>
    </xf>
    <xf numFmtId="49" fontId="46" fillId="0" borderId="0" applyFill="0" applyBorder="0"/>
    <xf numFmtId="0" fontId="47" fillId="0" borderId="55" applyFill="0">
      <alignment horizontal="center"/>
    </xf>
    <xf numFmtId="0" fontId="46" fillId="0" borderId="0" applyFill="0" applyBorder="0"/>
    <xf numFmtId="0" fontId="42" fillId="0" borderId="56" applyFill="0">
      <alignment horizontal="left" vertical="center" wrapText="1" indent="1"/>
    </xf>
    <xf numFmtId="0" fontId="42" fillId="0" borderId="54" applyFill="0">
      <alignment horizontal="left" vertical="center" wrapText="1" indent="1"/>
    </xf>
    <xf numFmtId="0" fontId="42" fillId="0" borderId="71" applyFill="0">
      <alignment horizontal="left" vertical="center" wrapText="1" indent="1"/>
    </xf>
    <xf numFmtId="0" fontId="42" fillId="0" borderId="71" applyFill="0">
      <alignment horizontal="center" vertical="center" wrapText="1"/>
    </xf>
    <xf numFmtId="167" fontId="42" fillId="0" borderId="55" applyFill="0">
      <alignment horizontal="center" vertical="center" wrapText="1"/>
    </xf>
    <xf numFmtId="4" fontId="42" fillId="14" borderId="55">
      <alignment vertical="center" wrapText="1"/>
      <protection locked="0"/>
    </xf>
    <xf numFmtId="0" fontId="43" fillId="0" borderId="54" applyFill="0">
      <alignment horizontal="left" vertical="center" indent="1"/>
    </xf>
    <xf numFmtId="0" fontId="43" fillId="0" borderId="68" applyFill="0">
      <alignment horizontal="left" vertical="center" indent="1"/>
    </xf>
    <xf numFmtId="49" fontId="45" fillId="16" borderId="69">
      <alignment horizontal="center" vertical="center"/>
    </xf>
    <xf numFmtId="0" fontId="42" fillId="0" borderId="68" applyFill="0"/>
    <xf numFmtId="0" fontId="42" fillId="0" borderId="67" applyFill="0">
      <alignment horizontal="center" vertical="center"/>
    </xf>
    <xf numFmtId="0" fontId="42" fillId="0" borderId="56" applyFill="0">
      <alignment horizontal="left" vertical="center"/>
    </xf>
    <xf numFmtId="0" fontId="42" fillId="0" borderId="54" applyFill="0">
      <alignment horizontal="left" vertical="center"/>
    </xf>
    <xf numFmtId="49" fontId="42" fillId="0" borderId="55" applyFill="0">
      <alignment horizontal="center" vertical="center"/>
    </xf>
    <xf numFmtId="168" fontId="42" fillId="0" borderId="59" applyFill="0">
      <alignment horizontal="center" vertical="center"/>
    </xf>
    <xf numFmtId="4" fontId="42" fillId="15" borderId="55">
      <alignment horizontal="right" vertical="center" wrapText="1"/>
    </xf>
    <xf numFmtId="0" fontId="42" fillId="0" borderId="56" applyFill="0">
      <alignment horizontal="left" vertical="center" wrapText="1" indent="2"/>
    </xf>
    <xf numFmtId="0" fontId="42" fillId="0" borderId="54" applyFill="0">
      <alignment horizontal="left" vertical="center" wrapText="1" indent="2"/>
    </xf>
    <xf numFmtId="0" fontId="42" fillId="0" borderId="71" applyFill="0">
      <alignment horizontal="left" vertical="center" wrapText="1" indent="2"/>
    </xf>
    <xf numFmtId="168" fontId="42" fillId="0" borderId="55" applyFill="0">
      <alignment horizontal="center" vertical="center"/>
    </xf>
    <xf numFmtId="4" fontId="42" fillId="13" borderId="55">
      <alignment vertical="center" wrapText="1"/>
      <protection locked="0"/>
    </xf>
    <xf numFmtId="2" fontId="42" fillId="0" borderId="68" applyFill="0">
      <alignment vertical="center"/>
    </xf>
    <xf numFmtId="164" fontId="42" fillId="0" borderId="68" applyFill="0">
      <alignment vertical="center"/>
    </xf>
    <xf numFmtId="169" fontId="42" fillId="0" borderId="68" applyFill="0">
      <alignment vertical="center" wrapText="1"/>
    </xf>
    <xf numFmtId="170" fontId="42" fillId="0" borderId="68" applyFill="0">
      <alignment vertical="center" wrapText="1"/>
    </xf>
    <xf numFmtId="0" fontId="42" fillId="0" borderId="68" applyFill="0">
      <alignment horizontal="center" vertical="center"/>
    </xf>
    <xf numFmtId="0" fontId="46" fillId="0" borderId="0" applyFill="0" applyBorder="0">
      <alignment horizontal="center" vertical="center" wrapText="1"/>
    </xf>
    <xf numFmtId="0" fontId="46" fillId="0" borderId="73" applyFill="0"/>
    <xf numFmtId="0" fontId="42" fillId="0" borderId="71" applyFill="0">
      <alignment horizontal="left" vertical="center"/>
    </xf>
    <xf numFmtId="0" fontId="42" fillId="0" borderId="56" applyFill="0">
      <alignment horizontal="left" wrapText="1" indent="1"/>
    </xf>
    <xf numFmtId="0" fontId="42" fillId="0" borderId="71" applyFill="0">
      <alignment horizontal="left" wrapText="1" indent="1"/>
    </xf>
    <xf numFmtId="4" fontId="42" fillId="13" borderId="55">
      <alignment horizontal="right" vertical="center"/>
      <protection locked="0"/>
    </xf>
    <xf numFmtId="0" fontId="48" fillId="0" borderId="73" applyFill="0">
      <alignment wrapText="1"/>
    </xf>
    <xf numFmtId="0" fontId="42" fillId="0" borderId="55" applyFill="0">
      <alignment horizontal="left" vertical="center" wrapText="1"/>
    </xf>
    <xf numFmtId="4" fontId="42" fillId="0" borderId="55" applyFill="0">
      <alignment horizontal="right" vertical="center"/>
    </xf>
    <xf numFmtId="0" fontId="42" fillId="0" borderId="55" applyFill="0">
      <alignment horizontal="left" vertical="center" wrapText="1" indent="1"/>
    </xf>
    <xf numFmtId="0" fontId="42" fillId="0" borderId="56" applyFill="0">
      <alignment vertical="center" wrapText="1"/>
    </xf>
    <xf numFmtId="0" fontId="42" fillId="0" borderId="71" applyFill="0">
      <alignment vertical="center" wrapText="1"/>
    </xf>
    <xf numFmtId="49" fontId="42" fillId="13" borderId="56">
      <alignment horizontal="left" vertical="center" indent="3"/>
      <protection locked="0"/>
    </xf>
    <xf numFmtId="49" fontId="42" fillId="13" borderId="54">
      <alignment horizontal="left" vertical="center" indent="3"/>
      <protection locked="0"/>
    </xf>
    <xf numFmtId="49" fontId="42" fillId="13" borderId="71">
      <alignment horizontal="left" vertical="center" indent="3"/>
      <protection locked="0"/>
    </xf>
    <xf numFmtId="49" fontId="46" fillId="0" borderId="0" applyFill="0" applyBorder="0">
      <alignment horizontal="center" vertical="center"/>
    </xf>
    <xf numFmtId="0" fontId="45" fillId="16" borderId="69">
      <alignment horizontal="left" vertical="center" indent="1"/>
    </xf>
    <xf numFmtId="49" fontId="45" fillId="16" borderId="70">
      <alignment horizontal="center" vertical="center"/>
    </xf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</cellStyleXfs>
  <cellXfs count="813">
    <xf numFmtId="0" fontId="0" fillId="0" borderId="0" xfId="0"/>
    <xf numFmtId="0" fontId="10" fillId="0" borderId="0" xfId="10" applyFont="1"/>
    <xf numFmtId="0" fontId="10" fillId="0" borderId="0" xfId="10" applyFont="1" applyAlignment="1">
      <alignment horizontal="center"/>
    </xf>
    <xf numFmtId="0" fontId="18" fillId="0" borderId="0" xfId="10" applyFont="1"/>
    <xf numFmtId="2" fontId="18" fillId="0" borderId="0" xfId="10" applyNumberFormat="1" applyFont="1"/>
    <xf numFmtId="2" fontId="10" fillId="0" borderId="0" xfId="10" applyNumberFormat="1" applyFont="1"/>
    <xf numFmtId="0" fontId="14" fillId="0" borderId="0" xfId="0" applyFont="1"/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2" fontId="20" fillId="0" borderId="6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0" fillId="5" borderId="0" xfId="0" applyFont="1" applyFill="1" applyAlignment="1">
      <alignment horizontal="center" vertical="center" wrapText="1"/>
    </xf>
    <xf numFmtId="0" fontId="21" fillId="0" borderId="0" xfId="2" applyFont="1"/>
    <xf numFmtId="0" fontId="23" fillId="0" borderId="0" xfId="2" applyFont="1"/>
    <xf numFmtId="0" fontId="24" fillId="0" borderId="0" xfId="2" applyFont="1"/>
    <xf numFmtId="0" fontId="22" fillId="2" borderId="0" xfId="2" applyFont="1" applyFill="1"/>
    <xf numFmtId="0" fontId="18" fillId="0" borderId="0" xfId="0" applyFont="1"/>
    <xf numFmtId="0" fontId="10" fillId="0" borderId="0" xfId="0" applyFont="1"/>
    <xf numFmtId="0" fontId="10" fillId="0" borderId="28" xfId="0" applyFont="1" applyBorder="1"/>
    <xf numFmtId="0" fontId="28" fillId="11" borderId="8" xfId="0" applyFont="1" applyFill="1" applyBorder="1"/>
    <xf numFmtId="0" fontId="28" fillId="2" borderId="0" xfId="0" applyFont="1" applyFill="1"/>
    <xf numFmtId="2" fontId="18" fillId="0" borderId="0" xfId="0" applyNumberFormat="1" applyFont="1"/>
    <xf numFmtId="0" fontId="17" fillId="0" borderId="0" xfId="0" applyFont="1"/>
    <xf numFmtId="0" fontId="12" fillId="0" borderId="0" xfId="0" applyFont="1"/>
    <xf numFmtId="0" fontId="11" fillId="0" borderId="0" xfId="0" applyFont="1"/>
    <xf numFmtId="0" fontId="18" fillId="7" borderId="0" xfId="0" applyFont="1" applyFill="1"/>
    <xf numFmtId="0" fontId="18" fillId="5" borderId="0" xfId="0" applyFont="1" applyFill="1"/>
    <xf numFmtId="0" fontId="18" fillId="2" borderId="0" xfId="0" applyFont="1" applyFill="1"/>
    <xf numFmtId="0" fontId="14" fillId="2" borderId="0" xfId="0" applyFont="1" applyFill="1"/>
    <xf numFmtId="0" fontId="10" fillId="2" borderId="0" xfId="0" applyFont="1" applyFill="1"/>
    <xf numFmtId="9" fontId="18" fillId="5" borderId="0" xfId="0" applyNumberFormat="1" applyFont="1" applyFill="1"/>
    <xf numFmtId="0" fontId="27" fillId="9" borderId="0" xfId="9" applyFont="1" applyFill="1" applyAlignment="1">
      <alignment horizontal="center"/>
    </xf>
    <xf numFmtId="0" fontId="29" fillId="12" borderId="0" xfId="0" applyFont="1" applyFill="1" applyAlignment="1">
      <alignment horizontal="center"/>
    </xf>
    <xf numFmtId="0" fontId="29" fillId="2" borderId="0" xfId="0" applyFont="1" applyFill="1" applyAlignment="1">
      <alignment horizontal="center"/>
    </xf>
    <xf numFmtId="0" fontId="28" fillId="0" borderId="0" xfId="0" applyFont="1" applyAlignment="1">
      <alignment horizontal="center"/>
    </xf>
    <xf numFmtId="0" fontId="30" fillId="2" borderId="0" xfId="0" applyFont="1" applyFill="1" applyAlignment="1">
      <alignment vertical="center"/>
    </xf>
    <xf numFmtId="0" fontId="14" fillId="7" borderId="0" xfId="2" applyFont="1" applyFill="1"/>
    <xf numFmtId="0" fontId="10" fillId="7" borderId="0" xfId="2" applyFont="1" applyFill="1"/>
    <xf numFmtId="2" fontId="17" fillId="7" borderId="0" xfId="2" applyNumberFormat="1" applyFont="1" applyFill="1"/>
    <xf numFmtId="0" fontId="18" fillId="7" borderId="0" xfId="2" applyFont="1" applyFill="1"/>
    <xf numFmtId="0" fontId="14" fillId="3" borderId="0" xfId="2" applyFont="1" applyFill="1"/>
    <xf numFmtId="0" fontId="10" fillId="3" borderId="0" xfId="2" applyFont="1" applyFill="1"/>
    <xf numFmtId="164" fontId="17" fillId="3" borderId="0" xfId="2" applyNumberFormat="1" applyFont="1" applyFill="1"/>
    <xf numFmtId="0" fontId="18" fillId="3" borderId="0" xfId="2" applyFont="1" applyFill="1"/>
    <xf numFmtId="0" fontId="14" fillId="4" borderId="0" xfId="2" applyFont="1" applyFill="1"/>
    <xf numFmtId="0" fontId="10" fillId="4" borderId="0" xfId="2" applyFont="1" applyFill="1"/>
    <xf numFmtId="164" fontId="17" fillId="4" borderId="0" xfId="2" applyNumberFormat="1" applyFont="1" applyFill="1"/>
    <xf numFmtId="0" fontId="18" fillId="4" borderId="0" xfId="2" applyFont="1" applyFill="1"/>
    <xf numFmtId="0" fontId="14" fillId="0" borderId="0" xfId="2" applyFont="1"/>
    <xf numFmtId="0" fontId="10" fillId="0" borderId="0" xfId="2" applyFont="1"/>
    <xf numFmtId="0" fontId="18" fillId="0" borderId="0" xfId="2" applyFont="1"/>
    <xf numFmtId="2" fontId="10" fillId="0" borderId="0" xfId="2" applyNumberFormat="1" applyFont="1"/>
    <xf numFmtId="0" fontId="33" fillId="0" borderId="0" xfId="2" applyFont="1"/>
    <xf numFmtId="0" fontId="34" fillId="0" borderId="0" xfId="2" applyFont="1"/>
    <xf numFmtId="0" fontId="30" fillId="0" borderId="0" xfId="2" applyFont="1"/>
    <xf numFmtId="0" fontId="35" fillId="2" borderId="0" xfId="2" applyFont="1" applyFill="1"/>
    <xf numFmtId="166" fontId="32" fillId="0" borderId="33" xfId="1" applyNumberFormat="1" applyFont="1" applyFill="1" applyBorder="1" applyAlignment="1" applyProtection="1">
      <alignment horizontal="center" vertical="center"/>
    </xf>
    <xf numFmtId="166" fontId="32" fillId="0" borderId="35" xfId="1" applyNumberFormat="1" applyFont="1" applyFill="1" applyBorder="1" applyAlignment="1" applyProtection="1">
      <alignment horizontal="center" vertical="center"/>
    </xf>
    <xf numFmtId="9" fontId="32" fillId="0" borderId="28" xfId="1" applyFont="1" applyFill="1" applyBorder="1" applyAlignment="1" applyProtection="1">
      <alignment horizontal="center" vertical="center"/>
    </xf>
    <xf numFmtId="9" fontId="32" fillId="0" borderId="39" xfId="1" applyFont="1" applyFill="1" applyBorder="1" applyAlignment="1" applyProtection="1">
      <alignment horizontal="center" vertical="center"/>
    </xf>
    <xf numFmtId="9" fontId="32" fillId="0" borderId="22" xfId="1" applyFont="1" applyFill="1" applyBorder="1" applyAlignment="1" applyProtection="1">
      <alignment horizontal="center" vertical="center"/>
    </xf>
    <xf numFmtId="2" fontId="28" fillId="0" borderId="0" xfId="0" applyNumberFormat="1" applyFont="1" applyAlignment="1">
      <alignment horizontal="center"/>
    </xf>
    <xf numFmtId="0" fontId="28" fillId="0" borderId="0" xfId="0" applyFont="1"/>
    <xf numFmtId="2" fontId="28" fillId="0" borderId="0" xfId="0" applyNumberFormat="1" applyFont="1"/>
    <xf numFmtId="2" fontId="28" fillId="0" borderId="0" xfId="9" applyNumberFormat="1" applyFont="1" applyAlignment="1">
      <alignment horizontal="center" wrapText="1"/>
    </xf>
    <xf numFmtId="0" fontId="28" fillId="0" borderId="0" xfId="9" applyFont="1" applyAlignment="1">
      <alignment horizontal="right" wrapText="1"/>
    </xf>
    <xf numFmtId="164" fontId="14" fillId="2" borderId="0" xfId="0" applyNumberFormat="1" applyFont="1" applyFill="1"/>
    <xf numFmtId="2" fontId="14" fillId="2" borderId="0" xfId="0" applyNumberFormat="1" applyFont="1" applyFill="1"/>
    <xf numFmtId="10" fontId="32" fillId="0" borderId="28" xfId="1" applyNumberFormat="1" applyFont="1" applyFill="1" applyBorder="1" applyAlignment="1" applyProtection="1">
      <alignment horizontal="center" vertical="center" wrapText="1"/>
    </xf>
    <xf numFmtId="2" fontId="32" fillId="0" borderId="28" xfId="1" applyNumberFormat="1" applyFont="1" applyFill="1" applyBorder="1" applyAlignment="1" applyProtection="1">
      <alignment horizontal="center" vertical="center" wrapText="1"/>
    </xf>
    <xf numFmtId="10" fontId="32" fillId="0" borderId="29" xfId="1" applyNumberFormat="1" applyFont="1" applyFill="1" applyBorder="1" applyAlignment="1" applyProtection="1">
      <alignment horizontal="center" vertical="center" wrapText="1"/>
    </xf>
    <xf numFmtId="9" fontId="32" fillId="0" borderId="27" xfId="1" applyFont="1" applyFill="1" applyBorder="1" applyAlignment="1" applyProtection="1">
      <alignment horizontal="center" vertical="center"/>
    </xf>
    <xf numFmtId="14" fontId="14" fillId="2" borderId="0" xfId="0" applyNumberFormat="1" applyFont="1" applyFill="1"/>
    <xf numFmtId="0" fontId="37" fillId="0" borderId="0" xfId="0" applyFont="1"/>
    <xf numFmtId="0" fontId="10" fillId="0" borderId="0" xfId="0" applyFont="1" applyAlignment="1">
      <alignment horizontal="center"/>
    </xf>
    <xf numFmtId="0" fontId="28" fillId="2" borderId="28" xfId="0" applyFont="1" applyFill="1" applyBorder="1"/>
    <xf numFmtId="0" fontId="10" fillId="2" borderId="28" xfId="0" applyFont="1" applyFill="1" applyBorder="1"/>
    <xf numFmtId="2" fontId="14" fillId="2" borderId="28" xfId="0" applyNumberFormat="1" applyFont="1" applyFill="1" applyBorder="1"/>
    <xf numFmtId="0" fontId="11" fillId="2" borderId="0" xfId="0" applyFont="1" applyFill="1"/>
    <xf numFmtId="0" fontId="17" fillId="2" borderId="0" xfId="0" applyFont="1" applyFill="1"/>
    <xf numFmtId="0" fontId="12" fillId="2" borderId="0" xfId="0" applyFont="1" applyFill="1"/>
    <xf numFmtId="0" fontId="10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wrapText="1"/>
    </xf>
    <xf numFmtId="0" fontId="11" fillId="0" borderId="28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wrapText="1"/>
    </xf>
    <xf numFmtId="0" fontId="10" fillId="10" borderId="49" xfId="0" applyFont="1" applyFill="1" applyBorder="1" applyAlignment="1">
      <alignment horizontal="center"/>
    </xf>
    <xf numFmtId="0" fontId="10" fillId="10" borderId="22" xfId="0" applyFont="1" applyFill="1" applyBorder="1" applyAlignment="1">
      <alignment horizontal="center"/>
    </xf>
    <xf numFmtId="0" fontId="14" fillId="0" borderId="42" xfId="0" applyFont="1" applyBorder="1" applyAlignment="1">
      <alignment horizontal="center" vertical="top"/>
    </xf>
    <xf numFmtId="0" fontId="10" fillId="10" borderId="32" xfId="0" applyFont="1" applyFill="1" applyBorder="1" applyAlignment="1">
      <alignment horizontal="center" vertical="top"/>
    </xf>
    <xf numFmtId="0" fontId="10" fillId="10" borderId="28" xfId="0" applyFont="1" applyFill="1" applyBorder="1" applyAlignment="1">
      <alignment horizontal="center" vertical="top"/>
    </xf>
    <xf numFmtId="0" fontId="14" fillId="0" borderId="19" xfId="0" applyFont="1" applyBorder="1" applyAlignment="1">
      <alignment horizontal="center" wrapText="1"/>
    </xf>
    <xf numFmtId="0" fontId="10" fillId="10" borderId="28" xfId="0" applyFont="1" applyFill="1" applyBorder="1" applyAlignment="1">
      <alignment horizontal="center"/>
    </xf>
    <xf numFmtId="0" fontId="14" fillId="0" borderId="50" xfId="0" applyFont="1" applyBorder="1" applyAlignment="1">
      <alignment horizontal="center" vertical="top"/>
    </xf>
    <xf numFmtId="0" fontId="10" fillId="10" borderId="32" xfId="0" applyFont="1" applyFill="1" applyBorder="1" applyAlignment="1">
      <alignment horizontal="center"/>
    </xf>
    <xf numFmtId="0" fontId="14" fillId="0" borderId="36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center" wrapText="1"/>
    </xf>
    <xf numFmtId="0" fontId="10" fillId="10" borderId="16" xfId="0" applyFont="1" applyFill="1" applyBorder="1" applyAlignment="1">
      <alignment horizontal="center" vertical="top"/>
    </xf>
    <xf numFmtId="0" fontId="16" fillId="0" borderId="4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top"/>
    </xf>
    <xf numFmtId="0" fontId="10" fillId="10" borderId="28" xfId="0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8" fillId="0" borderId="0" xfId="0" applyFont="1" applyAlignment="1">
      <alignment horizontal="center"/>
    </xf>
    <xf numFmtId="164" fontId="17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0" fontId="27" fillId="2" borderId="28" xfId="0" applyFont="1" applyFill="1" applyBorder="1" applyAlignment="1">
      <alignment horizontal="right"/>
    </xf>
    <xf numFmtId="0" fontId="29" fillId="12" borderId="0" xfId="0" applyFont="1" applyFill="1" applyAlignment="1">
      <alignment horizontal="left" vertical="center"/>
    </xf>
    <xf numFmtId="14" fontId="17" fillId="0" borderId="0" xfId="0" applyNumberFormat="1" applyFont="1"/>
    <xf numFmtId="0" fontId="21" fillId="2" borderId="0" xfId="2" applyFont="1" applyFill="1"/>
    <xf numFmtId="0" fontId="23" fillId="2" borderId="0" xfId="2" applyFont="1" applyFill="1"/>
    <xf numFmtId="0" fontId="25" fillId="2" borderId="0" xfId="2" applyFont="1" applyFill="1" applyAlignment="1">
      <alignment horizontal="right"/>
    </xf>
    <xf numFmtId="0" fontId="26" fillId="2" borderId="0" xfId="2" applyFont="1" applyFill="1"/>
    <xf numFmtId="0" fontId="24" fillId="2" borderId="0" xfId="2" applyFont="1" applyFill="1"/>
    <xf numFmtId="0" fontId="37" fillId="2" borderId="0" xfId="2" applyFont="1" applyFill="1"/>
    <xf numFmtId="2" fontId="37" fillId="2" borderId="0" xfId="2" applyNumberFormat="1" applyFont="1" applyFill="1"/>
    <xf numFmtId="0" fontId="14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4" fillId="2" borderId="0" xfId="2" applyFont="1" applyFill="1"/>
    <xf numFmtId="2" fontId="32" fillId="2" borderId="0" xfId="0" applyNumberFormat="1" applyFont="1" applyFill="1" applyAlignment="1">
      <alignment horizontal="center"/>
    </xf>
    <xf numFmtId="0" fontId="10" fillId="2" borderId="0" xfId="2" applyFont="1" applyFill="1"/>
    <xf numFmtId="2" fontId="17" fillId="2" borderId="0" xfId="2" applyNumberFormat="1" applyFont="1" applyFill="1"/>
    <xf numFmtId="164" fontId="17" fillId="2" borderId="0" xfId="2" applyNumberFormat="1" applyFont="1" applyFill="1"/>
    <xf numFmtId="2" fontId="10" fillId="2" borderId="0" xfId="2" applyNumberFormat="1" applyFont="1" applyFill="1"/>
    <xf numFmtId="0" fontId="33" fillId="2" borderId="0" xfId="2" applyFont="1" applyFill="1"/>
    <xf numFmtId="0" fontId="36" fillId="2" borderId="0" xfId="2" applyFont="1" applyFill="1"/>
    <xf numFmtId="0" fontId="34" fillId="2" borderId="0" xfId="2" applyFont="1" applyFill="1"/>
    <xf numFmtId="0" fontId="14" fillId="0" borderId="6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50" fillId="2" borderId="0" xfId="0" applyFont="1" applyFill="1" applyAlignment="1">
      <alignment vertical="top"/>
    </xf>
    <xf numFmtId="0" fontId="50" fillId="2" borderId="0" xfId="13" applyFont="1" applyFill="1">
      <alignment horizontal="center" vertical="center"/>
      <protection locked="0"/>
    </xf>
    <xf numFmtId="0" fontId="50" fillId="2" borderId="0" xfId="11" applyFont="1" applyFill="1"/>
    <xf numFmtId="0" fontId="50" fillId="2" borderId="0" xfId="0" applyFont="1" applyFill="1"/>
    <xf numFmtId="167" fontId="50" fillId="2" borderId="28" xfId="63" applyFont="1" applyFill="1" applyBorder="1">
      <alignment horizontal="center" vertical="center" wrapText="1"/>
    </xf>
    <xf numFmtId="0" fontId="50" fillId="2" borderId="28" xfId="69" applyFont="1" applyFill="1" applyBorder="1">
      <alignment horizontal="center" vertical="center"/>
    </xf>
    <xf numFmtId="49" fontId="50" fillId="2" borderId="28" xfId="72" applyFont="1" applyFill="1" applyBorder="1">
      <alignment horizontal="center" vertical="center"/>
    </xf>
    <xf numFmtId="168" fontId="50" fillId="2" borderId="28" xfId="78" applyFont="1" applyFill="1" applyBorder="1">
      <alignment horizontal="center" vertical="center"/>
    </xf>
    <xf numFmtId="49" fontId="50" fillId="2" borderId="28" xfId="12" applyNumberFormat="1" applyFont="1" applyFill="1" applyBorder="1">
      <alignment horizontal="center" vertical="center" wrapText="1"/>
    </xf>
    <xf numFmtId="168" fontId="50" fillId="2" borderId="28" xfId="78" applyFont="1" applyFill="1" applyBorder="1" applyAlignment="1">
      <alignment horizontal="center" vertical="center" wrapText="1"/>
    </xf>
    <xf numFmtId="0" fontId="50" fillId="2" borderId="0" xfId="12" applyFont="1" applyFill="1" applyBorder="1">
      <alignment horizontal="center" vertical="center" wrapText="1"/>
    </xf>
    <xf numFmtId="0" fontId="50" fillId="2" borderId="28" xfId="12" applyFont="1" applyFill="1" applyBorder="1" applyAlignment="1">
      <alignment horizontal="left" vertical="center" wrapText="1"/>
    </xf>
    <xf numFmtId="0" fontId="50" fillId="2" borderId="0" xfId="0" applyFont="1" applyFill="1" applyAlignment="1">
      <alignment horizontal="center" vertical="center" wrapText="1"/>
    </xf>
    <xf numFmtId="49" fontId="50" fillId="2" borderId="28" xfId="12" applyNumberFormat="1" applyFont="1" applyFill="1" applyBorder="1" applyAlignment="1">
      <alignment horizontal="left" vertical="center" wrapText="1"/>
    </xf>
    <xf numFmtId="0" fontId="50" fillId="2" borderId="28" xfId="0" applyFont="1" applyFill="1" applyBorder="1" applyAlignment="1">
      <alignment horizontal="left" vertical="top" wrapText="1"/>
    </xf>
    <xf numFmtId="0" fontId="50" fillId="2" borderId="28" xfId="27" applyFont="1" applyFill="1" applyBorder="1">
      <alignment horizontal="center" vertical="center" wrapText="1"/>
    </xf>
    <xf numFmtId="0" fontId="50" fillId="2" borderId="28" xfId="92" applyFont="1" applyFill="1" applyBorder="1">
      <alignment horizontal="left" vertical="center" wrapText="1"/>
    </xf>
    <xf numFmtId="0" fontId="50" fillId="2" borderId="28" xfId="0" applyFont="1" applyFill="1" applyBorder="1" applyAlignment="1">
      <alignment horizontal="center" vertical="top"/>
    </xf>
    <xf numFmtId="0" fontId="50" fillId="2" borderId="28" xfId="59" applyFont="1" applyFill="1" applyBorder="1">
      <alignment horizontal="left" vertical="center" wrapText="1" indent="1"/>
    </xf>
    <xf numFmtId="0" fontId="50" fillId="2" borderId="28" xfId="38" applyFont="1" applyFill="1" applyBorder="1">
      <alignment horizontal="left" vertical="center" wrapText="1"/>
    </xf>
    <xf numFmtId="0" fontId="50" fillId="2" borderId="28" xfId="40" applyFont="1" applyFill="1" applyBorder="1">
      <alignment horizontal="center" vertical="center"/>
    </xf>
    <xf numFmtId="0" fontId="50" fillId="2" borderId="28" xfId="32" applyFont="1" applyFill="1" applyBorder="1">
      <alignment horizontal="center" vertical="center" wrapText="1"/>
    </xf>
    <xf numFmtId="49" fontId="50" fillId="2" borderId="28" xfId="41" applyFont="1" applyFill="1" applyBorder="1">
      <alignment horizontal="center" vertical="center" wrapText="1"/>
    </xf>
    <xf numFmtId="0" fontId="50" fillId="2" borderId="28" xfId="23" applyFont="1" applyFill="1" applyBorder="1" applyAlignment="1">
      <alignment horizontal="left" vertical="center" wrapText="1"/>
    </xf>
    <xf numFmtId="0" fontId="50" fillId="2" borderId="28" xfId="0" applyFont="1" applyFill="1" applyBorder="1" applyAlignment="1">
      <alignment horizontal="left" vertical="top"/>
    </xf>
    <xf numFmtId="0" fontId="50" fillId="2" borderId="28" xfId="0" applyFont="1" applyFill="1" applyBorder="1" applyAlignment="1">
      <alignment horizontal="center" vertical="center" wrapText="1"/>
    </xf>
    <xf numFmtId="0" fontId="50" fillId="2" borderId="19" xfId="0" applyFont="1" applyFill="1" applyBorder="1" applyAlignment="1">
      <alignment vertical="top"/>
    </xf>
    <xf numFmtId="0" fontId="52" fillId="2" borderId="19" xfId="58" applyFont="1" applyFill="1" applyBorder="1"/>
    <xf numFmtId="49" fontId="52" fillId="2" borderId="19" xfId="56" applyFont="1" applyFill="1" applyBorder="1"/>
    <xf numFmtId="0" fontId="52" fillId="2" borderId="19" xfId="86" applyFont="1" applyFill="1" applyBorder="1"/>
    <xf numFmtId="0" fontId="52" fillId="2" borderId="19" xfId="91" applyFont="1" applyFill="1" applyBorder="1">
      <alignment wrapText="1"/>
    </xf>
    <xf numFmtId="0" fontId="52" fillId="2" borderId="0" xfId="58" applyFont="1" applyFill="1" applyBorder="1"/>
    <xf numFmtId="49" fontId="52" fillId="2" borderId="0" xfId="56" applyFont="1" applyFill="1" applyBorder="1"/>
    <xf numFmtId="0" fontId="52" fillId="2" borderId="0" xfId="86" applyFont="1" applyFill="1" applyBorder="1"/>
    <xf numFmtId="0" fontId="52" fillId="2" borderId="0" xfId="91" applyFont="1" applyFill="1" applyBorder="1">
      <alignment wrapText="1"/>
    </xf>
    <xf numFmtId="0" fontId="50" fillId="2" borderId="19" xfId="0" applyFont="1" applyFill="1" applyBorder="1" applyAlignment="1">
      <alignment horizontal="center" vertical="top" wrapText="1"/>
    </xf>
    <xf numFmtId="0" fontId="50" fillId="2" borderId="0" xfId="0" applyFont="1" applyFill="1" applyAlignment="1">
      <alignment horizontal="center" vertical="top" wrapText="1"/>
    </xf>
    <xf numFmtId="0" fontId="50" fillId="2" borderId="19" xfId="59" applyFont="1" applyFill="1" applyBorder="1">
      <alignment horizontal="left" vertical="center" wrapText="1" indent="1"/>
    </xf>
    <xf numFmtId="0" fontId="50" fillId="2" borderId="19" xfId="12" applyFont="1" applyFill="1" applyBorder="1" applyAlignment="1">
      <alignment horizontal="left" vertical="center" wrapText="1"/>
    </xf>
    <xf numFmtId="4" fontId="50" fillId="2" borderId="28" xfId="43" applyFont="1" applyFill="1" applyBorder="1" applyAlignment="1">
      <alignment horizontal="center" vertical="center" wrapText="1"/>
    </xf>
    <xf numFmtId="4" fontId="50" fillId="2" borderId="28" xfId="44" applyFont="1" applyFill="1" applyBorder="1" applyAlignment="1">
      <alignment horizontal="center" vertical="center" wrapText="1"/>
    </xf>
    <xf numFmtId="2" fontId="50" fillId="2" borderId="28" xfId="27" applyNumberFormat="1" applyFont="1" applyFill="1" applyBorder="1">
      <alignment horizontal="center" vertical="center" wrapText="1"/>
    </xf>
    <xf numFmtId="4" fontId="50" fillId="2" borderId="28" xfId="64" applyFont="1" applyFill="1" applyBorder="1" applyAlignment="1">
      <alignment horizontal="center" vertical="center" wrapText="1"/>
      <protection locked="0"/>
    </xf>
    <xf numFmtId="2" fontId="50" fillId="2" borderId="28" xfId="0" applyNumberFormat="1" applyFont="1" applyFill="1" applyBorder="1" applyAlignment="1">
      <alignment horizontal="center" vertical="center" wrapText="1"/>
    </xf>
    <xf numFmtId="4" fontId="50" fillId="2" borderId="28" xfId="74" applyFont="1" applyFill="1" applyBorder="1" applyAlignment="1">
      <alignment horizontal="center" vertical="center" wrapText="1"/>
    </xf>
    <xf numFmtId="4" fontId="50" fillId="2" borderId="28" xfId="79" applyFont="1" applyFill="1" applyBorder="1" applyAlignment="1">
      <alignment horizontal="center" vertical="center" wrapText="1"/>
      <protection locked="0"/>
    </xf>
    <xf numFmtId="171" fontId="50" fillId="2" borderId="28" xfId="0" applyNumberFormat="1" applyFont="1" applyFill="1" applyBorder="1" applyAlignment="1">
      <alignment horizontal="center" vertical="center"/>
    </xf>
    <xf numFmtId="2" fontId="50" fillId="2" borderId="28" xfId="0" applyNumberFormat="1" applyFont="1" applyFill="1" applyBorder="1" applyAlignment="1">
      <alignment horizontal="center" vertical="center"/>
    </xf>
    <xf numFmtId="0" fontId="50" fillId="2" borderId="28" xfId="0" applyFont="1" applyFill="1" applyBorder="1" applyAlignment="1">
      <alignment horizontal="center" vertical="center"/>
    </xf>
    <xf numFmtId="0" fontId="28" fillId="17" borderId="28" xfId="0" applyFont="1" applyFill="1" applyBorder="1"/>
    <xf numFmtId="2" fontId="28" fillId="2" borderId="28" xfId="0" applyNumberFormat="1" applyFont="1" applyFill="1" applyBorder="1"/>
    <xf numFmtId="0" fontId="50" fillId="2" borderId="28" xfId="0" applyFont="1" applyFill="1" applyBorder="1" applyAlignment="1">
      <alignment horizontal="center" vertical="top"/>
    </xf>
    <xf numFmtId="0" fontId="50" fillId="2" borderId="28" xfId="27" applyFont="1" applyFill="1" applyBorder="1">
      <alignment horizontal="center" vertical="center" wrapText="1"/>
    </xf>
    <xf numFmtId="0" fontId="50" fillId="2" borderId="28" xfId="32" applyFont="1" applyFill="1" applyBorder="1">
      <alignment horizontal="center" vertical="center" wrapText="1"/>
    </xf>
    <xf numFmtId="2" fontId="50" fillId="2" borderId="28" xfId="0" applyNumberFormat="1" applyFont="1" applyFill="1" applyBorder="1" applyAlignment="1">
      <alignment horizontal="center" vertical="top"/>
    </xf>
    <xf numFmtId="0" fontId="23" fillId="18" borderId="0" xfId="2" applyFont="1" applyFill="1"/>
    <xf numFmtId="0" fontId="10" fillId="18" borderId="0" xfId="0" applyFont="1" applyFill="1"/>
    <xf numFmtId="0" fontId="10" fillId="18" borderId="0" xfId="2" applyFont="1" applyFill="1"/>
    <xf numFmtId="0" fontId="34" fillId="18" borderId="0" xfId="2" applyFont="1" applyFill="1"/>
    <xf numFmtId="0" fontId="14" fillId="18" borderId="0" xfId="0" applyFont="1" applyFill="1"/>
    <xf numFmtId="0" fontId="50" fillId="2" borderId="0" xfId="0" applyFont="1" applyFill="1" applyAlignment="1">
      <alignment horizontal="center" vertical="center"/>
    </xf>
    <xf numFmtId="0" fontId="50" fillId="2" borderId="28" xfId="27" applyFont="1" applyFill="1" applyBorder="1">
      <alignment horizontal="center" vertical="center" wrapText="1"/>
    </xf>
    <xf numFmtId="0" fontId="50" fillId="2" borderId="28" xfId="0" applyFont="1" applyFill="1" applyBorder="1" applyAlignment="1">
      <alignment horizontal="center" vertical="top"/>
    </xf>
    <xf numFmtId="0" fontId="50" fillId="2" borderId="28" xfId="0" applyFont="1" applyFill="1" applyBorder="1" applyAlignment="1">
      <alignment horizontal="left" vertical="top" wrapText="1"/>
    </xf>
    <xf numFmtId="0" fontId="50" fillId="2" borderId="0" xfId="12" applyFont="1" applyFill="1" applyBorder="1">
      <alignment horizontal="center" vertical="center" wrapText="1"/>
    </xf>
    <xf numFmtId="0" fontId="50" fillId="2" borderId="0" xfId="0" applyFont="1" applyFill="1" applyAlignment="1">
      <alignment horizontal="center" vertical="center" wrapText="1"/>
    </xf>
    <xf numFmtId="49" fontId="50" fillId="2" borderId="28" xfId="12" applyNumberFormat="1" applyFont="1" applyFill="1" applyBorder="1" applyAlignment="1">
      <alignment horizontal="left" vertical="center" wrapText="1"/>
    </xf>
    <xf numFmtId="0" fontId="50" fillId="2" borderId="28" xfId="40" applyFont="1" applyFill="1" applyBorder="1">
      <alignment horizontal="center" vertical="center"/>
    </xf>
    <xf numFmtId="0" fontId="50" fillId="2" borderId="28" xfId="32" applyFont="1" applyFill="1" applyBorder="1">
      <alignment horizontal="center" vertical="center" wrapText="1"/>
    </xf>
    <xf numFmtId="49" fontId="50" fillId="2" borderId="28" xfId="41" applyFont="1" applyFill="1" applyBorder="1">
      <alignment horizontal="center" vertical="center" wrapText="1"/>
    </xf>
    <xf numFmtId="0" fontId="23" fillId="19" borderId="0" xfId="2" applyFont="1" applyFill="1"/>
    <xf numFmtId="0" fontId="10" fillId="19" borderId="0" xfId="0" applyFont="1" applyFill="1"/>
    <xf numFmtId="0" fontId="10" fillId="19" borderId="0" xfId="2" applyFont="1" applyFill="1"/>
    <xf numFmtId="0" fontId="34" fillId="19" borderId="0" xfId="2" applyFont="1" applyFill="1"/>
    <xf numFmtId="0" fontId="14" fillId="19" borderId="0" xfId="0" applyFont="1" applyFill="1"/>
    <xf numFmtId="0" fontId="0" fillId="7" borderId="0" xfId="0" applyFill="1"/>
    <xf numFmtId="0" fontId="43" fillId="0" borderId="30" xfId="9" applyFont="1" applyFill="1" applyBorder="1" applyAlignment="1" applyProtection="1">
      <alignment horizontal="center" vertical="center"/>
    </xf>
    <xf numFmtId="0" fontId="43" fillId="0" borderId="28" xfId="3" applyFont="1" applyFill="1" applyBorder="1" applyAlignment="1" applyProtection="1">
      <alignment horizontal="left" vertical="center"/>
    </xf>
    <xf numFmtId="0" fontId="42" fillId="0" borderId="28" xfId="3" applyFont="1" applyFill="1" applyBorder="1" applyAlignment="1" applyProtection="1">
      <alignment horizontal="center" vertical="center"/>
    </xf>
    <xf numFmtId="0" fontId="42" fillId="0" borderId="28" xfId="9" applyFont="1" applyFill="1" applyBorder="1" applyProtection="1"/>
    <xf numFmtId="49" fontId="43" fillId="0" borderId="30" xfId="7" applyNumberFormat="1" applyFont="1" applyFill="1" applyBorder="1" applyAlignment="1" applyProtection="1">
      <alignment horizontal="center" vertical="center" wrapText="1"/>
    </xf>
    <xf numFmtId="0" fontId="43" fillId="0" borderId="28" xfId="3" applyFont="1" applyFill="1" applyBorder="1" applyAlignment="1" applyProtection="1">
      <alignment horizontal="center" vertical="center"/>
    </xf>
    <xf numFmtId="2" fontId="43" fillId="8" borderId="28" xfId="8" applyNumberFormat="1" applyFont="1" applyFill="1" applyBorder="1" applyAlignment="1" applyProtection="1">
      <alignment horizontal="center" vertical="center" wrapText="1"/>
      <protection locked="0"/>
    </xf>
    <xf numFmtId="2" fontId="43" fillId="0" borderId="28" xfId="9" applyNumberFormat="1" applyFont="1" applyFill="1" applyBorder="1" applyAlignment="1" applyProtection="1">
      <alignment horizontal="center" vertical="center"/>
    </xf>
    <xf numFmtId="49" fontId="42" fillId="0" borderId="30" xfId="7" applyNumberFormat="1" applyFont="1" applyFill="1" applyBorder="1" applyAlignment="1" applyProtection="1">
      <alignment horizontal="center" vertical="center" wrapText="1"/>
    </xf>
    <xf numFmtId="0" fontId="42" fillId="0" borderId="28" xfId="3" applyFont="1" applyFill="1" applyBorder="1" applyAlignment="1" applyProtection="1">
      <alignment horizontal="right" vertical="center"/>
    </xf>
    <xf numFmtId="2" fontId="42" fillId="8" borderId="28" xfId="8" applyNumberFormat="1" applyFont="1" applyFill="1" applyBorder="1" applyAlignment="1" applyProtection="1">
      <alignment horizontal="center" vertical="center" wrapText="1"/>
      <protection locked="0"/>
    </xf>
    <xf numFmtId="2" fontId="42" fillId="0" borderId="28" xfId="9" applyNumberFormat="1" applyFont="1" applyFill="1" applyBorder="1" applyAlignment="1" applyProtection="1">
      <alignment horizontal="center" vertical="center"/>
    </xf>
    <xf numFmtId="0" fontId="42" fillId="0" borderId="28" xfId="4" applyFont="1" applyFill="1" applyBorder="1" applyAlignment="1" applyProtection="1">
      <alignment horizontal="right" vertical="center" wrapText="1"/>
    </xf>
    <xf numFmtId="49" fontId="43" fillId="0" borderId="28" xfId="3" applyNumberFormat="1" applyFont="1" applyFill="1" applyBorder="1" applyAlignment="1" applyProtection="1">
      <alignment horizontal="left" vertical="center"/>
    </xf>
    <xf numFmtId="0" fontId="42" fillId="0" borderId="28" xfId="3" applyFont="1" applyFill="1" applyBorder="1" applyAlignment="1" applyProtection="1">
      <alignment horizontal="right" vertical="center" wrapText="1"/>
    </xf>
    <xf numFmtId="49" fontId="42" fillId="0" borderId="25" xfId="7" applyNumberFormat="1" applyFont="1" applyFill="1" applyBorder="1" applyAlignment="1" applyProtection="1">
      <alignment horizontal="center" vertical="center" wrapText="1"/>
    </xf>
    <xf numFmtId="0" fontId="42" fillId="0" borderId="33" xfId="3" applyFont="1" applyFill="1" applyBorder="1" applyAlignment="1" applyProtection="1">
      <alignment horizontal="right" vertical="center"/>
    </xf>
    <xf numFmtId="0" fontId="42" fillId="0" borderId="33" xfId="3" applyFont="1" applyFill="1" applyBorder="1" applyAlignment="1" applyProtection="1">
      <alignment horizontal="center" vertical="center"/>
    </xf>
    <xf numFmtId="2" fontId="42" fillId="8" borderId="33" xfId="8" applyNumberFormat="1" applyFont="1" applyFill="1" applyBorder="1" applyAlignment="1" applyProtection="1">
      <alignment horizontal="center" vertical="center" wrapText="1"/>
      <protection locked="0"/>
    </xf>
    <xf numFmtId="2" fontId="42" fillId="0" borderId="33" xfId="9" applyNumberFormat="1" applyFont="1" applyFill="1" applyBorder="1" applyAlignment="1" applyProtection="1">
      <alignment horizontal="center" vertical="center"/>
    </xf>
    <xf numFmtId="49" fontId="43" fillId="0" borderId="21" xfId="3" applyNumberFormat="1" applyFont="1" applyFill="1" applyBorder="1" applyAlignment="1" applyProtection="1">
      <alignment horizontal="center" vertical="center"/>
    </xf>
    <xf numFmtId="0" fontId="43" fillId="0" borderId="22" xfId="9" applyFont="1" applyFill="1" applyBorder="1" applyAlignment="1">
      <alignment vertical="center" wrapText="1"/>
    </xf>
    <xf numFmtId="9" fontId="43" fillId="0" borderId="22" xfId="103" applyFont="1" applyFill="1" applyBorder="1" applyAlignment="1" applyProtection="1">
      <alignment horizontal="center" vertical="center"/>
    </xf>
    <xf numFmtId="2" fontId="43" fillId="6" borderId="78" xfId="9" applyNumberFormat="1" applyFont="1" applyFill="1" applyBorder="1" applyAlignment="1" applyProtection="1">
      <alignment horizontal="center" vertical="center" wrapText="1"/>
      <protection locked="0"/>
    </xf>
    <xf numFmtId="2" fontId="43" fillId="0" borderId="39" xfId="9" applyNumberFormat="1" applyFont="1" applyFill="1" applyBorder="1" applyAlignment="1" applyProtection="1">
      <alignment horizontal="center" vertical="center" wrapText="1"/>
    </xf>
    <xf numFmtId="49" fontId="42" fillId="0" borderId="30" xfId="3" applyNumberFormat="1" applyFont="1" applyFill="1" applyBorder="1" applyAlignment="1" applyProtection="1">
      <alignment horizontal="center" vertical="center"/>
    </xf>
    <xf numFmtId="0" fontId="42" fillId="0" borderId="28" xfId="9" applyFont="1" applyFill="1" applyBorder="1" applyAlignment="1">
      <alignment vertical="center" wrapText="1"/>
    </xf>
    <xf numFmtId="9" fontId="42" fillId="0" borderId="28" xfId="103" applyFont="1" applyFill="1" applyBorder="1" applyAlignment="1" applyProtection="1">
      <alignment horizontal="center" vertical="center"/>
    </xf>
    <xf numFmtId="2" fontId="42" fillId="0" borderId="28" xfId="9" applyNumberFormat="1" applyFont="1" applyFill="1" applyBorder="1" applyAlignment="1" applyProtection="1">
      <alignment horizontal="center" vertical="center" wrapText="1"/>
    </xf>
    <xf numFmtId="2" fontId="42" fillId="8" borderId="28" xfId="9" applyNumberFormat="1" applyFont="1" applyFill="1" applyBorder="1" applyAlignment="1" applyProtection="1">
      <alignment horizontal="center" vertical="center" wrapText="1"/>
      <protection locked="0"/>
    </xf>
    <xf numFmtId="49" fontId="42" fillId="0" borderId="28" xfId="7" applyNumberFormat="1" applyFont="1" applyFill="1" applyBorder="1" applyAlignment="1" applyProtection="1">
      <alignment horizontal="right" vertical="center" wrapText="1"/>
    </xf>
    <xf numFmtId="0" fontId="42" fillId="0" borderId="28" xfId="9" applyFont="1" applyFill="1" applyBorder="1" applyAlignment="1" applyProtection="1">
      <alignment horizontal="center" vertical="center"/>
    </xf>
    <xf numFmtId="10" fontId="42" fillId="8" borderId="28" xfId="103" applyNumberFormat="1" applyFont="1" applyFill="1" applyBorder="1" applyAlignment="1" applyProtection="1">
      <alignment horizontal="center" vertical="center" wrapText="1"/>
      <protection locked="0"/>
    </xf>
    <xf numFmtId="10" fontId="42" fillId="0" borderId="28" xfId="103" applyNumberFormat="1" applyFont="1" applyFill="1" applyBorder="1" applyAlignment="1" applyProtection="1">
      <alignment horizontal="center" vertical="center" wrapText="1"/>
    </xf>
    <xf numFmtId="2" fontId="42" fillId="8" borderId="28" xfId="103" applyNumberFormat="1" applyFont="1" applyFill="1" applyBorder="1" applyAlignment="1" applyProtection="1">
      <alignment horizontal="center" vertical="center" wrapText="1"/>
      <protection locked="0"/>
    </xf>
    <xf numFmtId="2" fontId="42" fillId="0" borderId="28" xfId="103" applyNumberFormat="1" applyFont="1" applyFill="1" applyBorder="1" applyAlignment="1" applyProtection="1">
      <alignment horizontal="center" vertical="center" wrapText="1"/>
    </xf>
    <xf numFmtId="0" fontId="42" fillId="0" borderId="28" xfId="9" applyFont="1" applyFill="1" applyBorder="1" applyAlignment="1">
      <alignment vertical="center"/>
    </xf>
    <xf numFmtId="2" fontId="42" fillId="0" borderId="19" xfId="9" applyNumberFormat="1" applyFont="1" applyFill="1" applyBorder="1" applyAlignment="1" applyProtection="1">
      <alignment horizontal="center" vertical="center" wrapText="1"/>
    </xf>
    <xf numFmtId="49" fontId="43" fillId="0" borderId="30" xfId="3" applyNumberFormat="1" applyFont="1" applyFill="1" applyBorder="1" applyAlignment="1" applyProtection="1">
      <alignment horizontal="center" vertical="center"/>
    </xf>
    <xf numFmtId="0" fontId="43" fillId="0" borderId="28" xfId="9" applyFont="1" applyFill="1" applyBorder="1" applyAlignment="1">
      <alignment vertical="center" wrapText="1"/>
    </xf>
    <xf numFmtId="9" fontId="43" fillId="0" borderId="28" xfId="103" applyFont="1" applyFill="1" applyBorder="1" applyAlignment="1" applyProtection="1">
      <alignment horizontal="center" vertical="center"/>
    </xf>
    <xf numFmtId="2" fontId="43" fillId="8" borderId="28" xfId="9" applyNumberFormat="1" applyFont="1" applyFill="1" applyBorder="1" applyAlignment="1" applyProtection="1">
      <alignment horizontal="center" vertical="center" wrapText="1"/>
      <protection locked="0"/>
    </xf>
    <xf numFmtId="2" fontId="43" fillId="0" borderId="28" xfId="9" applyNumberFormat="1" applyFont="1" applyFill="1" applyBorder="1" applyAlignment="1" applyProtection="1">
      <alignment horizontal="center" vertical="center" wrapText="1"/>
    </xf>
    <xf numFmtId="0" fontId="42" fillId="0" borderId="28" xfId="7" applyFont="1" applyFill="1" applyBorder="1" applyAlignment="1" applyProtection="1">
      <alignment horizontal="right" vertical="center" wrapText="1"/>
    </xf>
    <xf numFmtId="0" fontId="42" fillId="0" borderId="28" xfId="3" applyFont="1" applyFill="1" applyBorder="1" applyAlignment="1" applyProtection="1">
      <alignment horizontal="center" vertical="center" wrapText="1"/>
    </xf>
    <xf numFmtId="2" fontId="43" fillId="6" borderId="19" xfId="9" applyNumberFormat="1" applyFont="1" applyFill="1" applyBorder="1" applyAlignment="1" applyProtection="1">
      <alignment horizontal="center" vertical="center" wrapText="1"/>
      <protection locked="0"/>
    </xf>
    <xf numFmtId="2" fontId="42" fillId="6" borderId="19" xfId="9" applyNumberFormat="1" applyFont="1" applyFill="1" applyBorder="1" applyAlignment="1" applyProtection="1">
      <alignment horizontal="center" vertical="center" wrapText="1"/>
      <protection locked="0"/>
    </xf>
    <xf numFmtId="49" fontId="42" fillId="5" borderId="30" xfId="3" applyNumberFormat="1" applyFont="1" applyFill="1" applyBorder="1" applyAlignment="1" applyProtection="1">
      <alignment horizontal="center" vertical="center"/>
    </xf>
    <xf numFmtId="0" fontId="42" fillId="5" borderId="28" xfId="9" applyFont="1" applyFill="1" applyBorder="1" applyAlignment="1">
      <alignment vertical="center"/>
    </xf>
    <xf numFmtId="9" fontId="42" fillId="5" borderId="28" xfId="103" applyFont="1" applyFill="1" applyBorder="1" applyAlignment="1" applyProtection="1">
      <alignment horizontal="center" vertical="center"/>
    </xf>
    <xf numFmtId="2" fontId="42" fillId="5" borderId="28" xfId="8" applyNumberFormat="1" applyFont="1" applyFill="1" applyBorder="1" applyAlignment="1" applyProtection="1">
      <alignment horizontal="center" vertical="center" wrapText="1"/>
      <protection locked="0"/>
    </xf>
    <xf numFmtId="2" fontId="42" fillId="5" borderId="28" xfId="9" applyNumberFormat="1" applyFont="1" applyFill="1" applyBorder="1" applyAlignment="1" applyProtection="1">
      <alignment horizontal="center" vertical="center" wrapText="1"/>
    </xf>
    <xf numFmtId="0" fontId="43" fillId="0" borderId="28" xfId="9" applyFont="1" applyFill="1" applyBorder="1" applyAlignment="1">
      <alignment vertical="center"/>
    </xf>
    <xf numFmtId="9" fontId="42" fillId="0" borderId="19" xfId="103" applyFont="1" applyFill="1" applyBorder="1" applyAlignment="1" applyProtection="1">
      <alignment horizontal="center" vertical="center"/>
    </xf>
    <xf numFmtId="0" fontId="43" fillId="0" borderId="28" xfId="9" applyFont="1" applyFill="1" applyBorder="1" applyAlignment="1" applyProtection="1">
      <alignment horizontal="left" vertical="center" wrapText="1"/>
    </xf>
    <xf numFmtId="0" fontId="42" fillId="11" borderId="28" xfId="9" applyFont="1" applyFill="1" applyBorder="1" applyAlignment="1">
      <alignment vertical="center" wrapText="1"/>
    </xf>
    <xf numFmtId="9" fontId="42" fillId="11" borderId="28" xfId="103" applyFont="1" applyFill="1" applyBorder="1" applyAlignment="1" applyProtection="1">
      <alignment horizontal="center" vertical="center"/>
    </xf>
    <xf numFmtId="2" fontId="42" fillId="11" borderId="28" xfId="9" applyNumberFormat="1" applyFont="1" applyFill="1" applyBorder="1" applyAlignment="1" applyProtection="1">
      <alignment horizontal="center" vertical="center" wrapText="1"/>
      <protection locked="0"/>
    </xf>
    <xf numFmtId="2" fontId="42" fillId="11" borderId="28" xfId="9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2" fontId="0" fillId="11" borderId="0" xfId="0" applyNumberFormat="1" applyFill="1"/>
    <xf numFmtId="0" fontId="50" fillId="2" borderId="28" xfId="27" applyFont="1" applyFill="1" applyBorder="1">
      <alignment horizontal="center" vertical="center" wrapText="1"/>
    </xf>
    <xf numFmtId="0" fontId="50" fillId="2" borderId="28" xfId="32" applyFont="1" applyFill="1" applyBorder="1">
      <alignment horizontal="center" vertical="center" wrapText="1"/>
    </xf>
    <xf numFmtId="0" fontId="14" fillId="0" borderId="0" xfId="3" applyFont="1" applyFill="1" applyAlignment="1">
      <alignment horizontal="center" vertical="top"/>
    </xf>
    <xf numFmtId="0" fontId="10" fillId="0" borderId="0" xfId="3" applyFont="1" applyFill="1" applyAlignment="1">
      <alignment horizontal="center" vertical="top"/>
    </xf>
    <xf numFmtId="0" fontId="27" fillId="0" borderId="14" xfId="6" applyFont="1" applyFill="1" applyBorder="1" applyAlignment="1">
      <alignment horizontal="center" vertical="center" wrapText="1"/>
    </xf>
    <xf numFmtId="0" fontId="27" fillId="0" borderId="28" xfId="6" applyFont="1" applyFill="1" applyBorder="1" applyAlignment="1">
      <alignment horizontal="center" vertical="center" wrapText="1"/>
    </xf>
    <xf numFmtId="0" fontId="27" fillId="0" borderId="16" xfId="6" applyFont="1" applyFill="1" applyBorder="1" applyAlignment="1">
      <alignment horizontal="center" vertical="center" wrapText="1"/>
    </xf>
    <xf numFmtId="0" fontId="27" fillId="0" borderId="17" xfId="6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0" fontId="27" fillId="0" borderId="13" xfId="3" applyFont="1" applyFill="1" applyBorder="1" applyAlignment="1">
      <alignment horizontal="left" vertical="center"/>
    </xf>
    <xf numFmtId="0" fontId="10" fillId="0" borderId="8" xfId="3" applyFont="1" applyFill="1" applyBorder="1" applyAlignment="1">
      <alignment horizontal="center" vertical="center"/>
    </xf>
    <xf numFmtId="0" fontId="10" fillId="0" borderId="14" xfId="3" applyFont="1" applyFill="1" applyBorder="1" applyAlignment="1">
      <alignment horizontal="center" vertical="center"/>
    </xf>
    <xf numFmtId="0" fontId="10" fillId="0" borderId="39" xfId="3" applyFont="1" applyFill="1" applyBorder="1" applyAlignment="1">
      <alignment horizontal="center" vertical="center"/>
    </xf>
    <xf numFmtId="0" fontId="10" fillId="0" borderId="40" xfId="3" applyFont="1" applyFill="1" applyBorder="1" applyAlignment="1">
      <alignment horizontal="center" vertical="center"/>
    </xf>
    <xf numFmtId="0" fontId="10" fillId="0" borderId="14" xfId="0" applyFont="1" applyFill="1" applyBorder="1"/>
    <xf numFmtId="0" fontId="10" fillId="0" borderId="39" xfId="0" applyFont="1" applyFill="1" applyBorder="1"/>
    <xf numFmtId="0" fontId="10" fillId="0" borderId="40" xfId="0" applyFont="1" applyFill="1" applyBorder="1"/>
    <xf numFmtId="0" fontId="10" fillId="0" borderId="10" xfId="0" applyFont="1" applyFill="1" applyBorder="1"/>
    <xf numFmtId="0" fontId="10" fillId="0" borderId="13" xfId="0" applyFont="1" applyFill="1" applyBorder="1"/>
    <xf numFmtId="0" fontId="27" fillId="0" borderId="41" xfId="9" applyFont="1" applyFill="1" applyBorder="1" applyAlignment="1">
      <alignment horizontal="center" vertical="center"/>
    </xf>
    <xf numFmtId="0" fontId="27" fillId="0" borderId="31" xfId="3" applyFont="1" applyFill="1" applyBorder="1" applyAlignment="1">
      <alignment horizontal="left" vertical="center"/>
    </xf>
    <xf numFmtId="0" fontId="11" fillId="0" borderId="20" xfId="3" applyFont="1" applyFill="1" applyBorder="1" applyAlignment="1">
      <alignment horizontal="center" vertical="center"/>
    </xf>
    <xf numFmtId="2" fontId="32" fillId="0" borderId="30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28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28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29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30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28" xfId="0" applyNumberFormat="1" applyFont="1" applyFill="1" applyBorder="1" applyAlignment="1">
      <alignment horizontal="center" vertical="center"/>
    </xf>
    <xf numFmtId="2" fontId="32" fillId="0" borderId="29" xfId="0" applyNumberFormat="1" applyFont="1" applyFill="1" applyBorder="1" applyAlignment="1">
      <alignment horizontal="center" vertical="center"/>
    </xf>
    <xf numFmtId="2" fontId="32" fillId="0" borderId="30" xfId="0" applyNumberFormat="1" applyFont="1" applyFill="1" applyBorder="1" applyAlignment="1">
      <alignment horizontal="center" vertical="center"/>
    </xf>
    <xf numFmtId="2" fontId="38" fillId="0" borderId="29" xfId="0" applyNumberFormat="1" applyFont="1" applyFill="1" applyBorder="1" applyAlignment="1">
      <alignment horizontal="center" vertical="center"/>
    </xf>
    <xf numFmtId="2" fontId="38" fillId="0" borderId="41" xfId="0" applyNumberFormat="1" applyFont="1" applyFill="1" applyBorder="1" applyAlignment="1">
      <alignment horizontal="center" vertical="center"/>
    </xf>
    <xf numFmtId="2" fontId="38" fillId="0" borderId="31" xfId="0" applyNumberFormat="1" applyFont="1" applyFill="1" applyBorder="1" applyAlignment="1" applyProtection="1">
      <alignment horizontal="center" vertical="center"/>
      <protection locked="0"/>
    </xf>
    <xf numFmtId="49" fontId="27" fillId="0" borderId="41" xfId="7" applyNumberFormat="1" applyFont="1" applyFill="1" applyBorder="1" applyAlignment="1">
      <alignment horizontal="center" vertical="center" wrapText="1"/>
    </xf>
    <xf numFmtId="2" fontId="38" fillId="0" borderId="31" xfId="0" applyNumberFormat="1" applyFont="1" applyFill="1" applyBorder="1" applyAlignment="1">
      <alignment horizontal="center" vertical="center"/>
    </xf>
    <xf numFmtId="2" fontId="38" fillId="0" borderId="30" xfId="0" applyNumberFormat="1" applyFont="1" applyFill="1" applyBorder="1" applyAlignment="1">
      <alignment horizontal="center" vertical="center"/>
    </xf>
    <xf numFmtId="49" fontId="28" fillId="0" borderId="41" xfId="7" applyNumberFormat="1" applyFont="1" applyFill="1" applyBorder="1" applyAlignment="1">
      <alignment horizontal="center" vertical="center" wrapText="1"/>
    </xf>
    <xf numFmtId="0" fontId="28" fillId="0" borderId="31" xfId="3" applyFont="1" applyFill="1" applyBorder="1" applyAlignment="1">
      <alignment horizontal="right" vertical="center"/>
    </xf>
    <xf numFmtId="0" fontId="10" fillId="0" borderId="20" xfId="3" applyFont="1" applyFill="1" applyBorder="1" applyAlignment="1">
      <alignment horizontal="center" vertical="center"/>
    </xf>
    <xf numFmtId="2" fontId="32" fillId="0" borderId="29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41" xfId="0" applyNumberFormat="1" applyFont="1" applyFill="1" applyBorder="1" applyAlignment="1">
      <alignment horizontal="center" vertical="center"/>
    </xf>
    <xf numFmtId="2" fontId="32" fillId="0" borderId="31" xfId="0" applyNumberFormat="1" applyFont="1" applyFill="1" applyBorder="1" applyAlignment="1">
      <alignment horizontal="center" vertical="center"/>
    </xf>
    <xf numFmtId="0" fontId="28" fillId="0" borderId="31" xfId="4" applyFont="1" applyFill="1" applyBorder="1" applyAlignment="1">
      <alignment horizontal="right" vertical="center" wrapText="1"/>
    </xf>
    <xf numFmtId="49" fontId="27" fillId="0" borderId="47" xfId="7" applyNumberFormat="1" applyFont="1" applyFill="1" applyBorder="1" applyAlignment="1">
      <alignment horizontal="center" vertical="center" wrapText="1"/>
    </xf>
    <xf numFmtId="49" fontId="27" fillId="0" borderId="23" xfId="3" applyNumberFormat="1" applyFont="1" applyFill="1" applyBorder="1" applyAlignment="1">
      <alignment horizontal="left" vertical="center"/>
    </xf>
    <xf numFmtId="0" fontId="11" fillId="0" borderId="24" xfId="3" applyFont="1" applyFill="1" applyBorder="1" applyAlignment="1">
      <alignment horizontal="center" vertical="center"/>
    </xf>
    <xf numFmtId="2" fontId="38" fillId="0" borderId="25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33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35" xfId="8" applyNumberFormat="1" applyFont="1" applyFill="1" applyBorder="1" applyAlignment="1" applyProtection="1">
      <alignment horizontal="center" vertical="center" wrapText="1"/>
      <protection locked="0"/>
    </xf>
    <xf numFmtId="2" fontId="38" fillId="0" borderId="35" xfId="0" applyNumberFormat="1" applyFont="1" applyFill="1" applyBorder="1" applyAlignment="1">
      <alignment horizontal="center" vertical="center"/>
    </xf>
    <xf numFmtId="2" fontId="38" fillId="0" borderId="52" xfId="0" applyNumberFormat="1" applyFont="1" applyFill="1" applyBorder="1" applyAlignment="1">
      <alignment horizontal="center" vertical="center"/>
    </xf>
    <xf numFmtId="49" fontId="28" fillId="0" borderId="53" xfId="7" applyNumberFormat="1" applyFont="1" applyFill="1" applyBorder="1" applyAlignment="1">
      <alignment horizontal="center" vertical="center" wrapText="1"/>
    </xf>
    <xf numFmtId="0" fontId="28" fillId="0" borderId="37" xfId="3" applyFont="1" applyFill="1" applyBorder="1" applyAlignment="1">
      <alignment horizontal="right" vertical="center" wrapText="1"/>
    </xf>
    <xf numFmtId="0" fontId="10" fillId="0" borderId="49" xfId="3" applyFont="1" applyFill="1" applyBorder="1" applyAlignment="1">
      <alignment horizontal="center" vertical="center"/>
    </xf>
    <xf numFmtId="2" fontId="32" fillId="0" borderId="21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22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27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22" xfId="0" applyNumberFormat="1" applyFont="1" applyFill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center" vertical="center"/>
    </xf>
    <xf numFmtId="2" fontId="32" fillId="0" borderId="21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center" vertical="center"/>
    </xf>
    <xf numFmtId="2" fontId="32" fillId="0" borderId="13" xfId="9" applyNumberFormat="1" applyFont="1" applyFill="1" applyBorder="1" applyAlignment="1" applyProtection="1">
      <alignment horizontal="center" vertical="center"/>
      <protection locked="0"/>
    </xf>
    <xf numFmtId="49" fontId="28" fillId="0" borderId="47" xfId="7" applyNumberFormat="1" applyFont="1" applyFill="1" applyBorder="1" applyAlignment="1">
      <alignment horizontal="center" vertical="center" wrapText="1"/>
    </xf>
    <xf numFmtId="0" fontId="28" fillId="0" borderId="23" xfId="3" applyFont="1" applyFill="1" applyBorder="1" applyAlignment="1">
      <alignment horizontal="right" vertical="center"/>
    </xf>
    <xf numFmtId="0" fontId="10" fillId="0" borderId="24" xfId="3" applyFont="1" applyFill="1" applyBorder="1" applyAlignment="1">
      <alignment horizontal="center" vertical="center"/>
    </xf>
    <xf numFmtId="2" fontId="32" fillId="0" borderId="25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33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35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33" xfId="0" applyNumberFormat="1" applyFont="1" applyFill="1" applyBorder="1" applyAlignment="1">
      <alignment horizontal="center" vertical="center"/>
    </xf>
    <xf numFmtId="2" fontId="32" fillId="0" borderId="35" xfId="0" applyNumberFormat="1" applyFont="1" applyFill="1" applyBorder="1" applyAlignment="1">
      <alignment horizontal="center" vertical="center"/>
    </xf>
    <xf numFmtId="2" fontId="32" fillId="0" borderId="25" xfId="0" applyNumberFormat="1" applyFont="1" applyFill="1" applyBorder="1" applyAlignment="1">
      <alignment horizontal="center" vertical="center"/>
    </xf>
    <xf numFmtId="2" fontId="32" fillId="0" borderId="47" xfId="0" applyNumberFormat="1" applyFont="1" applyFill="1" applyBorder="1" applyAlignment="1">
      <alignment horizontal="center" vertical="center"/>
    </xf>
    <xf numFmtId="2" fontId="32" fillId="0" borderId="23" xfId="9" applyNumberFormat="1" applyFont="1" applyFill="1" applyBorder="1" applyAlignment="1" applyProtection="1">
      <alignment horizontal="center" vertical="center"/>
      <protection locked="0"/>
    </xf>
    <xf numFmtId="49" fontId="27" fillId="0" borderId="53" xfId="3" applyNumberFormat="1" applyFont="1" applyFill="1" applyBorder="1" applyAlignment="1">
      <alignment horizontal="center" vertical="center"/>
    </xf>
    <xf numFmtId="0" fontId="27" fillId="0" borderId="37" xfId="0" applyFont="1" applyFill="1" applyBorder="1" applyAlignment="1">
      <alignment vertical="center" wrapText="1"/>
    </xf>
    <xf numFmtId="9" fontId="11" fillId="0" borderId="38" xfId="1" applyFont="1" applyFill="1" applyBorder="1" applyAlignment="1" applyProtection="1">
      <alignment horizontal="center" vertical="center"/>
    </xf>
    <xf numFmtId="2" fontId="38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22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27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39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27" xfId="0" applyNumberFormat="1" applyFont="1" applyFill="1" applyBorder="1" applyAlignment="1">
      <alignment horizontal="center" vertical="center" wrapText="1"/>
    </xf>
    <xf numFmtId="2" fontId="38" fillId="0" borderId="21" xfId="0" applyNumberFormat="1" applyFont="1" applyFill="1" applyBorder="1" applyAlignment="1">
      <alignment horizontal="center" vertical="center" wrapText="1"/>
    </xf>
    <xf numFmtId="49" fontId="28" fillId="0" borderId="41" xfId="3" applyNumberFormat="1" applyFont="1" applyFill="1" applyBorder="1" applyAlignment="1">
      <alignment horizontal="center" vertical="center"/>
    </xf>
    <xf numFmtId="0" fontId="28" fillId="0" borderId="31" xfId="0" applyFont="1" applyFill="1" applyBorder="1" applyAlignment="1">
      <alignment vertical="center" wrapText="1"/>
    </xf>
    <xf numFmtId="9" fontId="10" fillId="0" borderId="20" xfId="1" applyFont="1" applyFill="1" applyBorder="1" applyAlignment="1" applyProtection="1">
      <alignment horizontal="center" vertical="center"/>
    </xf>
    <xf numFmtId="2" fontId="32" fillId="0" borderId="30" xfId="1" applyNumberFormat="1" applyFont="1" applyFill="1" applyBorder="1" applyAlignment="1" applyProtection="1">
      <alignment horizontal="center" vertical="center"/>
    </xf>
    <xf numFmtId="2" fontId="32" fillId="0" borderId="28" xfId="1" applyNumberFormat="1" applyFont="1" applyFill="1" applyBorder="1" applyAlignment="1" applyProtection="1">
      <alignment horizontal="center" vertical="center"/>
    </xf>
    <xf numFmtId="2" fontId="32" fillId="0" borderId="29" xfId="1" applyNumberFormat="1" applyFont="1" applyFill="1" applyBorder="1" applyAlignment="1" applyProtection="1">
      <alignment horizontal="center" vertical="center"/>
    </xf>
    <xf numFmtId="2" fontId="32" fillId="0" borderId="28" xfId="0" applyNumberFormat="1" applyFont="1" applyFill="1" applyBorder="1" applyAlignment="1">
      <alignment horizontal="center" vertical="center" wrapText="1"/>
    </xf>
    <xf numFmtId="2" fontId="32" fillId="0" borderId="29" xfId="0" applyNumberFormat="1" applyFont="1" applyFill="1" applyBorder="1" applyAlignment="1">
      <alignment horizontal="center" vertical="center" wrapText="1"/>
    </xf>
    <xf numFmtId="2" fontId="32" fillId="0" borderId="30" xfId="0" applyNumberFormat="1" applyFont="1" applyFill="1" applyBorder="1" applyAlignment="1">
      <alignment horizontal="center" vertical="center" wrapText="1"/>
    </xf>
    <xf numFmtId="2" fontId="32" fillId="0" borderId="32" xfId="0" applyNumberFormat="1" applyFont="1" applyFill="1" applyBorder="1" applyAlignment="1">
      <alignment horizontal="center" vertical="center" wrapText="1"/>
    </xf>
    <xf numFmtId="2" fontId="32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76" xfId="0" applyNumberFormat="1" applyFont="1" applyFill="1" applyBorder="1" applyAlignment="1">
      <alignment horizontal="center" vertical="center"/>
    </xf>
    <xf numFmtId="2" fontId="32" fillId="0" borderId="20" xfId="0" applyNumberFormat="1" applyFont="1" applyFill="1" applyBorder="1" applyAlignment="1">
      <alignment horizontal="center" vertical="center"/>
    </xf>
    <xf numFmtId="2" fontId="32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76" xfId="0" applyNumberFormat="1" applyFont="1" applyFill="1" applyBorder="1" applyAlignment="1">
      <alignment horizontal="center" vertical="center" wrapText="1"/>
    </xf>
    <xf numFmtId="2" fontId="32" fillId="0" borderId="20" xfId="0" applyNumberFormat="1" applyFont="1" applyFill="1" applyBorder="1" applyAlignment="1">
      <alignment horizontal="center" vertical="center" wrapText="1"/>
    </xf>
    <xf numFmtId="49" fontId="28" fillId="0" borderId="31" xfId="7" applyNumberFormat="1" applyFont="1" applyFill="1" applyBorder="1" applyAlignment="1">
      <alignment horizontal="right" vertical="center" wrapText="1"/>
    </xf>
    <xf numFmtId="0" fontId="10" fillId="0" borderId="20" xfId="0" applyFont="1" applyFill="1" applyBorder="1" applyAlignment="1">
      <alignment horizontal="center" vertical="center"/>
    </xf>
    <xf numFmtId="2" fontId="32" fillId="0" borderId="29" xfId="0" applyNumberFormat="1" applyFont="1" applyFill="1" applyBorder="1" applyAlignment="1" applyProtection="1">
      <alignment horizontal="center" vertical="center" wrapText="1"/>
      <protection locked="0"/>
    </xf>
    <xf numFmtId="10" fontId="32" fillId="0" borderId="30" xfId="1" applyNumberFormat="1" applyFont="1" applyFill="1" applyBorder="1" applyAlignment="1" applyProtection="1">
      <alignment horizontal="center" vertical="center"/>
    </xf>
    <xf numFmtId="10" fontId="32" fillId="0" borderId="28" xfId="1" applyNumberFormat="1" applyFont="1" applyFill="1" applyBorder="1" applyAlignment="1" applyProtection="1">
      <alignment horizontal="center" vertical="center"/>
    </xf>
    <xf numFmtId="10" fontId="32" fillId="0" borderId="29" xfId="1" applyNumberFormat="1" applyFont="1" applyFill="1" applyBorder="1" applyAlignment="1" applyProtection="1">
      <alignment horizontal="center" vertical="center"/>
    </xf>
    <xf numFmtId="10" fontId="32" fillId="0" borderId="32" xfId="1" applyNumberFormat="1" applyFont="1" applyFill="1" applyBorder="1" applyAlignment="1" applyProtection="1">
      <alignment horizontal="center" vertical="center"/>
    </xf>
    <xf numFmtId="10" fontId="32" fillId="0" borderId="28" xfId="0" applyNumberFormat="1" applyFont="1" applyFill="1" applyBorder="1" applyAlignment="1" applyProtection="1">
      <alignment horizontal="center" vertical="center" wrapText="1"/>
      <protection locked="0"/>
    </xf>
    <xf numFmtId="10" fontId="32" fillId="0" borderId="28" xfId="1" applyNumberFormat="1" applyFont="1" applyFill="1" applyBorder="1" applyAlignment="1" applyProtection="1">
      <alignment horizontal="center" vertical="center" wrapText="1"/>
      <protection locked="0"/>
    </xf>
    <xf numFmtId="10" fontId="32" fillId="0" borderId="76" xfId="1" applyNumberFormat="1" applyFont="1" applyFill="1" applyBorder="1" applyAlignment="1" applyProtection="1">
      <alignment horizontal="center" vertical="center" wrapText="1"/>
    </xf>
    <xf numFmtId="10" fontId="32" fillId="0" borderId="32" xfId="1" applyNumberFormat="1" applyFont="1" applyFill="1" applyBorder="1" applyAlignment="1" applyProtection="1">
      <alignment horizontal="center" vertical="center" wrapText="1"/>
    </xf>
    <xf numFmtId="2" fontId="32" fillId="0" borderId="29" xfId="1" applyNumberFormat="1" applyFont="1" applyFill="1" applyBorder="1" applyAlignment="1" applyProtection="1">
      <alignment horizontal="center" vertical="center" wrapText="1"/>
    </xf>
    <xf numFmtId="2" fontId="32" fillId="0" borderId="28" xfId="1" applyNumberFormat="1" applyFont="1" applyFill="1" applyBorder="1" applyAlignment="1" applyProtection="1">
      <alignment horizontal="center" vertical="center" wrapText="1"/>
      <protection locked="0"/>
    </xf>
    <xf numFmtId="2" fontId="32" fillId="0" borderId="32" xfId="1" applyNumberFormat="1" applyFont="1" applyFill="1" applyBorder="1" applyAlignment="1" applyProtection="1">
      <alignment horizontal="center" vertical="center" wrapText="1"/>
    </xf>
    <xf numFmtId="10" fontId="32" fillId="0" borderId="30" xfId="1" applyNumberFormat="1" applyFont="1" applyFill="1" applyBorder="1" applyAlignment="1">
      <alignment horizontal="center" vertical="center" wrapText="1"/>
    </xf>
    <xf numFmtId="10" fontId="32" fillId="0" borderId="32" xfId="1" applyNumberFormat="1" applyFont="1" applyFill="1" applyBorder="1" applyAlignment="1">
      <alignment horizontal="center" vertical="center" wrapText="1"/>
    </xf>
    <xf numFmtId="2" fontId="32" fillId="0" borderId="32" xfId="8" applyNumberFormat="1" applyFont="1" applyFill="1" applyBorder="1" applyAlignment="1" applyProtection="1">
      <alignment horizontal="center" vertical="center" wrapText="1"/>
      <protection locked="0"/>
    </xf>
    <xf numFmtId="2" fontId="32" fillId="0" borderId="76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31" xfId="0" applyFont="1" applyFill="1" applyBorder="1" applyAlignment="1">
      <alignment vertical="center"/>
    </xf>
    <xf numFmtId="2" fontId="32" fillId="0" borderId="76" xfId="1" applyNumberFormat="1" applyFont="1" applyFill="1" applyBorder="1" applyAlignment="1" applyProtection="1">
      <alignment horizontal="center" vertical="center" wrapText="1"/>
    </xf>
    <xf numFmtId="10" fontId="32" fillId="0" borderId="30" xfId="1" applyNumberFormat="1" applyFont="1" applyFill="1" applyBorder="1" applyAlignment="1" applyProtection="1">
      <alignment horizontal="center" vertical="center" wrapText="1"/>
      <protection locked="0"/>
    </xf>
    <xf numFmtId="10" fontId="32" fillId="0" borderId="30" xfId="1" applyNumberFormat="1" applyFont="1" applyFill="1" applyBorder="1" applyAlignment="1" applyProtection="1">
      <alignment horizontal="center" vertical="center" wrapText="1"/>
    </xf>
    <xf numFmtId="2" fontId="32" fillId="0" borderId="30" xfId="1" applyNumberFormat="1" applyFont="1" applyFill="1" applyBorder="1" applyAlignment="1" applyProtection="1">
      <alignment horizontal="center" vertical="center" wrapText="1"/>
      <protection locked="0"/>
    </xf>
    <xf numFmtId="2" fontId="32" fillId="0" borderId="30" xfId="1" applyNumberFormat="1" applyFont="1" applyFill="1" applyBorder="1" applyAlignment="1" applyProtection="1">
      <alignment horizontal="center" vertical="center" wrapText="1"/>
    </xf>
    <xf numFmtId="0" fontId="28" fillId="0" borderId="31" xfId="0" applyFont="1" applyFill="1" applyBorder="1" applyAlignment="1">
      <alignment vertical="top" wrapText="1"/>
    </xf>
    <xf numFmtId="49" fontId="27" fillId="0" borderId="41" xfId="3" applyNumberFormat="1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vertical="center" wrapText="1"/>
    </xf>
    <xf numFmtId="9" fontId="11" fillId="0" borderId="20" xfId="1" applyFont="1" applyFill="1" applyBorder="1" applyAlignment="1" applyProtection="1">
      <alignment horizontal="center" vertical="center"/>
    </xf>
    <xf numFmtId="2" fontId="38" fillId="0" borderId="30" xfId="1" applyNumberFormat="1" applyFont="1" applyFill="1" applyBorder="1" applyAlignment="1" applyProtection="1">
      <alignment horizontal="center" vertical="center"/>
    </xf>
    <xf numFmtId="2" fontId="38" fillId="0" borderId="28" xfId="0" applyNumberFormat="1" applyFont="1" applyFill="1" applyBorder="1" applyAlignment="1">
      <alignment horizontal="center" vertical="center" wrapText="1"/>
    </xf>
    <xf numFmtId="2" fontId="38" fillId="0" borderId="29" xfId="0" applyNumberFormat="1" applyFont="1" applyFill="1" applyBorder="1" applyAlignment="1">
      <alignment horizontal="center" vertical="center" wrapText="1"/>
    </xf>
    <xf numFmtId="2" fontId="38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30" xfId="0" applyNumberFormat="1" applyFont="1" applyFill="1" applyBorder="1" applyAlignment="1">
      <alignment horizontal="center" vertical="center" wrapText="1"/>
    </xf>
    <xf numFmtId="2" fontId="38" fillId="0" borderId="32" xfId="0" applyNumberFormat="1" applyFont="1" applyFill="1" applyBorder="1" applyAlignment="1">
      <alignment horizontal="center" vertical="center" wrapText="1"/>
    </xf>
    <xf numFmtId="2" fontId="38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76" xfId="0" applyNumberFormat="1" applyFont="1" applyFill="1" applyBorder="1" applyAlignment="1">
      <alignment horizontal="center" vertical="center" wrapText="1"/>
    </xf>
    <xf numFmtId="0" fontId="27" fillId="0" borderId="31" xfId="7" applyFont="1" applyFill="1" applyBorder="1" applyAlignment="1">
      <alignment horizontal="right" vertical="center" wrapText="1"/>
    </xf>
    <xf numFmtId="2" fontId="32" fillId="0" borderId="30" xfId="3" applyNumberFormat="1" applyFont="1" applyFill="1" applyBorder="1" applyAlignment="1">
      <alignment horizontal="center" vertical="center"/>
    </xf>
    <xf numFmtId="0" fontId="28" fillId="0" borderId="31" xfId="7" applyFont="1" applyFill="1" applyBorder="1" applyAlignment="1">
      <alignment horizontal="right" vertical="center" wrapText="1"/>
    </xf>
    <xf numFmtId="0" fontId="10" fillId="0" borderId="20" xfId="3" applyFont="1" applyFill="1" applyBorder="1" applyAlignment="1">
      <alignment horizontal="center" vertical="center" wrapText="1"/>
    </xf>
    <xf numFmtId="2" fontId="32" fillId="0" borderId="30" xfId="3" applyNumberFormat="1" applyFont="1" applyFill="1" applyBorder="1" applyAlignment="1">
      <alignment horizontal="center" vertical="center" wrapText="1"/>
    </xf>
    <xf numFmtId="0" fontId="32" fillId="0" borderId="30" xfId="3" applyFont="1" applyFill="1" applyBorder="1" applyAlignment="1">
      <alignment horizontal="center" vertical="center" wrapText="1"/>
    </xf>
    <xf numFmtId="164" fontId="32" fillId="0" borderId="28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28" xfId="0" applyNumberFormat="1" applyFont="1" applyFill="1" applyBorder="1" applyAlignment="1" applyProtection="1">
      <alignment horizontal="center" vertical="top" wrapText="1"/>
      <protection locked="0"/>
    </xf>
    <xf numFmtId="2" fontId="32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1" xfId="0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vertical="center"/>
    </xf>
    <xf numFmtId="2" fontId="38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20" xfId="0" applyNumberFormat="1" applyFont="1" applyFill="1" applyBorder="1" applyAlignment="1" applyProtection="1">
      <alignment horizontal="center" vertical="center" wrapText="1"/>
      <protection locked="0"/>
    </xf>
    <xf numFmtId="2" fontId="38" fillId="0" borderId="32" xfId="0" applyNumberFormat="1" applyFont="1" applyFill="1" applyBorder="1" applyAlignment="1" applyProtection="1">
      <alignment horizontal="center" vertical="center" wrapText="1"/>
      <protection locked="0"/>
    </xf>
    <xf numFmtId="9" fontId="32" fillId="0" borderId="30" xfId="1" applyFont="1" applyFill="1" applyBorder="1" applyAlignment="1" applyProtection="1">
      <alignment horizontal="center" vertical="center"/>
    </xf>
    <xf numFmtId="49" fontId="27" fillId="0" borderId="52" xfId="7" applyNumberFormat="1" applyFont="1" applyFill="1" applyBorder="1" applyAlignment="1">
      <alignment horizontal="center" vertical="center" wrapText="1"/>
    </xf>
    <xf numFmtId="0" fontId="27" fillId="0" borderId="43" xfId="0" applyFont="1" applyFill="1" applyBorder="1" applyAlignment="1">
      <alignment vertical="center"/>
    </xf>
    <xf numFmtId="9" fontId="11" fillId="0" borderId="45" xfId="1" applyFont="1" applyFill="1" applyBorder="1" applyAlignment="1" applyProtection="1">
      <alignment horizontal="center" vertical="center"/>
    </xf>
    <xf numFmtId="2" fontId="38" fillId="0" borderId="18" xfId="0" applyNumberFormat="1" applyFont="1" applyFill="1" applyBorder="1" applyAlignment="1">
      <alignment horizontal="center" vertical="center" wrapText="1"/>
    </xf>
    <xf numFmtId="2" fontId="38" fillId="0" borderId="16" xfId="0" applyNumberFormat="1" applyFont="1" applyFill="1" applyBorder="1" applyAlignment="1">
      <alignment horizontal="center" vertical="center" wrapText="1"/>
    </xf>
    <xf numFmtId="2" fontId="38" fillId="0" borderId="17" xfId="0" applyNumberFormat="1" applyFont="1" applyFill="1" applyBorder="1" applyAlignment="1">
      <alignment horizontal="center" vertical="center" wrapText="1"/>
    </xf>
    <xf numFmtId="2" fontId="38" fillId="0" borderId="25" xfId="0" applyNumberFormat="1" applyFont="1" applyFill="1" applyBorder="1" applyAlignment="1">
      <alignment horizontal="center" vertical="center" wrapText="1"/>
    </xf>
    <xf numFmtId="2" fontId="38" fillId="0" borderId="24" xfId="0" applyNumberFormat="1" applyFont="1" applyFill="1" applyBorder="1" applyAlignment="1">
      <alignment horizontal="center" vertical="center" wrapText="1"/>
    </xf>
    <xf numFmtId="2" fontId="38" fillId="0" borderId="33" xfId="0" applyNumberFormat="1" applyFont="1" applyFill="1" applyBorder="1" applyAlignment="1">
      <alignment horizontal="center" vertical="center" wrapText="1"/>
    </xf>
    <xf numFmtId="2" fontId="38" fillId="0" borderId="35" xfId="0" applyNumberFormat="1" applyFont="1" applyFill="1" applyBorder="1" applyAlignment="1">
      <alignment horizontal="center" vertical="center" wrapText="1"/>
    </xf>
    <xf numFmtId="2" fontId="38" fillId="0" borderId="44" xfId="0" applyNumberFormat="1" applyFont="1" applyFill="1" applyBorder="1" applyAlignment="1">
      <alignment horizontal="center" vertical="center" wrapText="1"/>
    </xf>
    <xf numFmtId="49" fontId="27" fillId="0" borderId="10" xfId="7" applyNumberFormat="1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left" vertical="center" wrapText="1"/>
    </xf>
    <xf numFmtId="9" fontId="11" fillId="0" borderId="8" xfId="1" applyFont="1" applyFill="1" applyBorder="1" applyAlignment="1" applyProtection="1">
      <alignment horizontal="center" vertical="center"/>
    </xf>
    <xf numFmtId="2" fontId="38" fillId="0" borderId="14" xfId="0" applyNumberFormat="1" applyFont="1" applyFill="1" applyBorder="1" applyAlignment="1">
      <alignment horizontal="center" vertical="center" wrapText="1"/>
    </xf>
    <xf numFmtId="2" fontId="38" fillId="0" borderId="39" xfId="0" applyNumberFormat="1" applyFont="1" applyFill="1" applyBorder="1" applyAlignment="1">
      <alignment horizontal="center" vertical="center" wrapText="1"/>
    </xf>
    <xf numFmtId="2" fontId="38" fillId="0" borderId="40" xfId="0" applyNumberFormat="1" applyFont="1" applyFill="1" applyBorder="1" applyAlignment="1">
      <alignment horizontal="center" vertical="center" wrapText="1"/>
    </xf>
    <xf numFmtId="2" fontId="38" fillId="0" borderId="9" xfId="0" applyNumberFormat="1" applyFont="1" applyFill="1" applyBorder="1" applyAlignment="1">
      <alignment horizontal="center" vertical="center" wrapText="1"/>
    </xf>
    <xf numFmtId="0" fontId="10" fillId="0" borderId="41" xfId="0" applyFont="1" applyFill="1" applyBorder="1"/>
    <xf numFmtId="0" fontId="10" fillId="0" borderId="31" xfId="0" applyFont="1" applyFill="1" applyBorder="1"/>
    <xf numFmtId="0" fontId="10" fillId="0" borderId="20" xfId="0" applyFont="1" applyFill="1" applyBorder="1"/>
    <xf numFmtId="0" fontId="10" fillId="0" borderId="30" xfId="0" applyFont="1" applyFill="1" applyBorder="1"/>
    <xf numFmtId="0" fontId="10" fillId="0" borderId="28" xfId="0" applyFont="1" applyFill="1" applyBorder="1"/>
    <xf numFmtId="0" fontId="10" fillId="0" borderId="29" xfId="0" applyFont="1" applyFill="1" applyBorder="1"/>
    <xf numFmtId="0" fontId="10" fillId="0" borderId="32" xfId="0" applyFont="1" applyFill="1" applyBorder="1"/>
    <xf numFmtId="0" fontId="27" fillId="0" borderId="31" xfId="0" applyFont="1" applyFill="1" applyBorder="1" applyAlignment="1">
      <alignment horizontal="left" vertical="center" wrapText="1"/>
    </xf>
    <xf numFmtId="0" fontId="28" fillId="0" borderId="23" xfId="0" applyFont="1" applyFill="1" applyBorder="1" applyAlignment="1">
      <alignment horizontal="left" vertical="center" wrapText="1"/>
    </xf>
    <xf numFmtId="0" fontId="11" fillId="0" borderId="34" xfId="0" applyFont="1" applyFill="1" applyBorder="1" applyAlignment="1">
      <alignment horizontal="center" vertical="center"/>
    </xf>
    <xf numFmtId="0" fontId="38" fillId="0" borderId="25" xfId="0" applyFont="1" applyFill="1" applyBorder="1" applyAlignment="1">
      <alignment horizontal="center" vertical="center"/>
    </xf>
    <xf numFmtId="0" fontId="38" fillId="0" borderId="33" xfId="0" applyFont="1" applyFill="1" applyBorder="1" applyAlignment="1">
      <alignment horizontal="center" vertical="center"/>
    </xf>
    <xf numFmtId="0" fontId="38" fillId="0" borderId="35" xfId="0" applyFont="1" applyFill="1" applyBorder="1" applyAlignment="1">
      <alignment horizontal="center" vertical="center"/>
    </xf>
    <xf numFmtId="166" fontId="32" fillId="0" borderId="25" xfId="1" applyNumberFormat="1" applyFont="1" applyFill="1" applyBorder="1" applyAlignment="1" applyProtection="1">
      <alignment horizontal="center" vertical="center"/>
    </xf>
    <xf numFmtId="166" fontId="38" fillId="0" borderId="25" xfId="1" applyNumberFormat="1" applyFont="1" applyFill="1" applyBorder="1" applyAlignment="1" applyProtection="1">
      <alignment horizontal="center" vertical="center"/>
    </xf>
    <xf numFmtId="166" fontId="38" fillId="0" borderId="24" xfId="1" applyNumberFormat="1" applyFont="1" applyFill="1" applyBorder="1" applyAlignment="1" applyProtection="1">
      <alignment horizontal="center" vertical="center"/>
    </xf>
    <xf numFmtId="166" fontId="38" fillId="0" borderId="33" xfId="1" applyNumberFormat="1" applyFont="1" applyFill="1" applyBorder="1" applyAlignment="1" applyProtection="1">
      <alignment horizontal="center" vertical="center"/>
    </xf>
    <xf numFmtId="166" fontId="32" fillId="0" borderId="24" xfId="1" applyNumberFormat="1" applyFont="1" applyFill="1" applyBorder="1" applyAlignment="1" applyProtection="1">
      <alignment horizontal="center" vertical="center"/>
    </xf>
    <xf numFmtId="2" fontId="38" fillId="0" borderId="39" xfId="0" applyNumberFormat="1" applyFont="1" applyFill="1" applyBorder="1" applyAlignment="1">
      <alignment horizontal="center" wrapText="1"/>
    </xf>
    <xf numFmtId="2" fontId="38" fillId="0" borderId="40" xfId="0" applyNumberFormat="1" applyFont="1" applyFill="1" applyBorder="1" applyAlignment="1">
      <alignment horizontal="center" wrapText="1"/>
    </xf>
    <xf numFmtId="0" fontId="27" fillId="0" borderId="13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32" fillId="0" borderId="39" xfId="0" applyFont="1" applyFill="1" applyBorder="1" applyAlignment="1">
      <alignment horizontal="center" vertical="center"/>
    </xf>
    <xf numFmtId="0" fontId="32" fillId="0" borderId="40" xfId="0" applyFont="1" applyFill="1" applyBorder="1" applyAlignment="1">
      <alignment horizontal="center" vertical="center"/>
    </xf>
    <xf numFmtId="0" fontId="32" fillId="0" borderId="9" xfId="0" applyFont="1" applyFill="1" applyBorder="1" applyAlignment="1">
      <alignment horizontal="center" vertical="center"/>
    </xf>
    <xf numFmtId="0" fontId="28" fillId="0" borderId="31" xfId="0" applyFont="1" applyFill="1" applyBorder="1" applyAlignment="1">
      <alignment horizontal="left" vertical="center" wrapText="1"/>
    </xf>
    <xf numFmtId="0" fontId="32" fillId="0" borderId="30" xfId="0" applyFont="1" applyFill="1" applyBorder="1" applyAlignment="1">
      <alignment horizontal="center" vertical="center"/>
    </xf>
    <xf numFmtId="0" fontId="32" fillId="0" borderId="28" xfId="0" applyFont="1" applyFill="1" applyBorder="1" applyAlignment="1">
      <alignment horizontal="center" vertical="center"/>
    </xf>
    <xf numFmtId="0" fontId="32" fillId="0" borderId="29" xfId="0" applyFont="1" applyFill="1" applyBorder="1" applyAlignment="1">
      <alignment horizontal="center" vertical="center"/>
    </xf>
    <xf numFmtId="0" fontId="32" fillId="0" borderId="30" xfId="0" applyFont="1" applyFill="1" applyBorder="1" applyAlignment="1" applyProtection="1">
      <alignment horizontal="center" vertical="center"/>
      <protection locked="0"/>
    </xf>
    <xf numFmtId="0" fontId="32" fillId="0" borderId="28" xfId="0" applyFont="1" applyFill="1" applyBorder="1" applyAlignment="1" applyProtection="1">
      <alignment horizontal="center" vertical="center"/>
      <protection locked="0"/>
    </xf>
    <xf numFmtId="0" fontId="32" fillId="0" borderId="29" xfId="0" applyFont="1" applyFill="1" applyBorder="1" applyAlignment="1" applyProtection="1">
      <alignment horizontal="center" vertical="center"/>
      <protection locked="0"/>
    </xf>
    <xf numFmtId="10" fontId="32" fillId="0" borderId="30" xfId="1" applyNumberFormat="1" applyFont="1" applyFill="1" applyBorder="1" applyAlignment="1" applyProtection="1">
      <alignment horizontal="center" vertical="center"/>
      <protection locked="0"/>
    </xf>
    <xf numFmtId="10" fontId="32" fillId="0" borderId="32" xfId="1" applyNumberFormat="1" applyFont="1" applyFill="1" applyBorder="1" applyAlignment="1" applyProtection="1">
      <alignment horizontal="center" vertical="center"/>
      <protection locked="0"/>
    </xf>
    <xf numFmtId="10" fontId="32" fillId="0" borderId="28" xfId="1" applyNumberFormat="1" applyFont="1" applyFill="1" applyBorder="1" applyAlignment="1" applyProtection="1">
      <alignment horizontal="center" vertical="center"/>
      <protection locked="0"/>
    </xf>
    <xf numFmtId="10" fontId="32" fillId="0" borderId="29" xfId="1" applyNumberFormat="1" applyFont="1" applyFill="1" applyBorder="1" applyAlignment="1">
      <alignment horizontal="center" vertical="center"/>
    </xf>
    <xf numFmtId="0" fontId="32" fillId="0" borderId="28" xfId="0" applyFont="1" applyFill="1" applyBorder="1"/>
    <xf numFmtId="10" fontId="32" fillId="0" borderId="29" xfId="1" applyNumberFormat="1" applyFont="1" applyFill="1" applyBorder="1" applyAlignment="1" applyProtection="1">
      <alignment horizontal="center" vertical="center"/>
      <protection locked="0"/>
    </xf>
    <xf numFmtId="9" fontId="32" fillId="0" borderId="28" xfId="1" applyFont="1" applyFill="1" applyBorder="1" applyAlignment="1" applyProtection="1">
      <alignment horizontal="center" vertical="center"/>
      <protection locked="0"/>
    </xf>
    <xf numFmtId="2" fontId="32" fillId="0" borderId="28" xfId="0" applyNumberFormat="1" applyFont="1" applyFill="1" applyBorder="1" applyAlignment="1" applyProtection="1">
      <alignment horizontal="center" vertical="center"/>
      <protection locked="0"/>
    </xf>
    <xf numFmtId="2" fontId="32" fillId="0" borderId="30" xfId="0" applyNumberFormat="1" applyFont="1" applyFill="1" applyBorder="1" applyAlignment="1" applyProtection="1">
      <alignment horizontal="center" vertical="center"/>
      <protection locked="0"/>
    </xf>
    <xf numFmtId="2" fontId="32" fillId="0" borderId="32" xfId="0" applyNumberFormat="1" applyFont="1" applyFill="1" applyBorder="1" applyAlignment="1" applyProtection="1">
      <alignment horizontal="center" vertical="center"/>
      <protection locked="0"/>
    </xf>
    <xf numFmtId="2" fontId="32" fillId="0" borderId="32" xfId="0" applyNumberFormat="1" applyFont="1" applyFill="1" applyBorder="1" applyAlignment="1">
      <alignment horizontal="center" vertical="center"/>
    </xf>
    <xf numFmtId="2" fontId="32" fillId="0" borderId="29" xfId="0" applyNumberFormat="1" applyFont="1" applyFill="1" applyBorder="1" applyAlignment="1" applyProtection="1">
      <alignment horizontal="center" vertical="center"/>
      <protection locked="0"/>
    </xf>
    <xf numFmtId="0" fontId="32" fillId="0" borderId="32" xfId="1" applyNumberFormat="1" applyFont="1" applyFill="1" applyBorder="1" applyAlignment="1" applyProtection="1">
      <alignment horizontal="center" vertical="center"/>
    </xf>
    <xf numFmtId="0" fontId="32" fillId="0" borderId="28" xfId="1" applyNumberFormat="1" applyFont="1" applyFill="1" applyBorder="1" applyAlignment="1" applyProtection="1">
      <alignment horizontal="center" vertical="center"/>
      <protection locked="0"/>
    </xf>
    <xf numFmtId="0" fontId="32" fillId="0" borderId="28" xfId="1" applyNumberFormat="1" applyFont="1" applyFill="1" applyBorder="1" applyAlignment="1" applyProtection="1">
      <alignment horizontal="center" vertical="center"/>
    </xf>
    <xf numFmtId="0" fontId="32" fillId="0" borderId="29" xfId="1" applyNumberFormat="1" applyFont="1" applyFill="1" applyBorder="1" applyAlignment="1" applyProtection="1">
      <alignment horizontal="center" vertical="center"/>
      <protection locked="0"/>
    </xf>
    <xf numFmtId="0" fontId="10" fillId="0" borderId="34" xfId="0" applyFont="1" applyFill="1" applyBorder="1" applyAlignment="1">
      <alignment horizontal="center" vertical="center"/>
    </xf>
    <xf numFmtId="0" fontId="32" fillId="0" borderId="25" xfId="0" applyFont="1" applyFill="1" applyBorder="1" applyAlignment="1">
      <alignment horizontal="center" vertical="center"/>
    </xf>
    <xf numFmtId="0" fontId="32" fillId="0" borderId="33" xfId="0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0" fontId="32" fillId="0" borderId="25" xfId="8" applyFont="1" applyFill="1" applyBorder="1" applyAlignment="1" applyProtection="1">
      <alignment horizontal="center" vertical="center" wrapText="1"/>
      <protection locked="0"/>
    </xf>
    <xf numFmtId="0" fontId="32" fillId="0" borderId="33" xfId="8" applyFont="1" applyFill="1" applyBorder="1" applyAlignment="1" applyProtection="1">
      <alignment horizontal="center" vertical="center" wrapText="1"/>
      <protection locked="0"/>
    </xf>
    <xf numFmtId="0" fontId="32" fillId="0" borderId="35" xfId="8" applyFont="1" applyFill="1" applyBorder="1" applyAlignment="1" applyProtection="1">
      <alignment horizontal="center" vertical="center" wrapText="1"/>
      <protection locked="0"/>
    </xf>
    <xf numFmtId="0" fontId="32" fillId="0" borderId="24" xfId="8" applyFont="1" applyFill="1" applyBorder="1" applyAlignment="1" applyProtection="1">
      <alignment horizontal="center" vertical="center" wrapText="1"/>
      <protection locked="0"/>
    </xf>
    <xf numFmtId="9" fontId="32" fillId="0" borderId="33" xfId="1" applyFont="1" applyFill="1" applyBorder="1" applyAlignment="1" applyProtection="1">
      <alignment horizontal="center" vertical="center"/>
    </xf>
    <xf numFmtId="0" fontId="32" fillId="0" borderId="33" xfId="0" applyFont="1" applyFill="1" applyBorder="1"/>
    <xf numFmtId="49" fontId="27" fillId="0" borderId="53" xfId="7" applyNumberFormat="1" applyFont="1" applyFill="1" applyBorder="1" applyAlignment="1">
      <alignment horizontal="center" vertical="center" wrapText="1"/>
    </xf>
    <xf numFmtId="0" fontId="27" fillId="0" borderId="37" xfId="0" applyFont="1" applyFill="1" applyBorder="1" applyAlignment="1">
      <alignment vertical="center"/>
    </xf>
    <xf numFmtId="0" fontId="10" fillId="0" borderId="38" xfId="0" applyFont="1" applyFill="1" applyBorder="1" applyAlignment="1">
      <alignment horizontal="center" vertical="center"/>
    </xf>
    <xf numFmtId="0" fontId="32" fillId="0" borderId="21" xfId="0" applyFont="1" applyFill="1" applyBorder="1" applyAlignment="1">
      <alignment horizontal="center" vertical="center"/>
    </xf>
    <xf numFmtId="0" fontId="32" fillId="0" borderId="22" xfId="0" applyFont="1" applyFill="1" applyBorder="1" applyAlignment="1">
      <alignment horizontal="center" vertical="center"/>
    </xf>
    <xf numFmtId="0" fontId="32" fillId="0" borderId="27" xfId="0" applyFont="1" applyFill="1" applyBorder="1" applyAlignment="1">
      <alignment horizontal="center" vertical="center"/>
    </xf>
    <xf numFmtId="0" fontId="32" fillId="0" borderId="49" xfId="0" applyFont="1" applyFill="1" applyBorder="1" applyAlignment="1">
      <alignment horizontal="center" vertical="center"/>
    </xf>
    <xf numFmtId="0" fontId="32" fillId="0" borderId="22" xfId="0" applyFont="1" applyFill="1" applyBorder="1"/>
    <xf numFmtId="0" fontId="32" fillId="0" borderId="30" xfId="8" applyFont="1" applyFill="1" applyBorder="1" applyAlignment="1" applyProtection="1">
      <alignment horizontal="center" vertical="center" wrapText="1"/>
      <protection locked="0"/>
    </xf>
    <xf numFmtId="0" fontId="32" fillId="0" borderId="28" xfId="8" applyFont="1" applyFill="1" applyBorder="1" applyAlignment="1" applyProtection="1">
      <alignment horizontal="center" vertical="center" wrapText="1"/>
      <protection locked="0"/>
    </xf>
    <xf numFmtId="0" fontId="32" fillId="0" borderId="29" xfId="8" applyFont="1" applyFill="1" applyBorder="1" applyAlignment="1" applyProtection="1">
      <alignment horizontal="center" vertical="center" wrapText="1"/>
      <protection locked="0"/>
    </xf>
    <xf numFmtId="0" fontId="32" fillId="0" borderId="32" xfId="8" applyFont="1" applyFill="1" applyBorder="1" applyAlignment="1" applyProtection="1">
      <alignment horizontal="center" vertical="center" wrapText="1"/>
      <protection locked="0"/>
    </xf>
    <xf numFmtId="0" fontId="28" fillId="0" borderId="31" xfId="9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vertical="center"/>
    </xf>
    <xf numFmtId="0" fontId="32" fillId="0" borderId="30" xfId="0" applyFont="1" applyFill="1" applyBorder="1" applyAlignment="1">
      <alignment vertical="center"/>
    </xf>
    <xf numFmtId="0" fontId="32" fillId="0" borderId="28" xfId="0" applyFont="1" applyFill="1" applyBorder="1" applyAlignment="1">
      <alignment vertical="center"/>
    </xf>
    <xf numFmtId="0" fontId="32" fillId="0" borderId="29" xfId="0" applyFont="1" applyFill="1" applyBorder="1" applyAlignment="1">
      <alignment vertical="center"/>
    </xf>
    <xf numFmtId="0" fontId="32" fillId="0" borderId="30" xfId="0" applyFont="1" applyFill="1" applyBorder="1"/>
    <xf numFmtId="0" fontId="32" fillId="0" borderId="29" xfId="0" applyFont="1" applyFill="1" applyBorder="1"/>
    <xf numFmtId="0" fontId="32" fillId="0" borderId="32" xfId="0" applyFont="1" applyFill="1" applyBorder="1"/>
    <xf numFmtId="0" fontId="28" fillId="0" borderId="47" xfId="0" applyFont="1" applyFill="1" applyBorder="1"/>
    <xf numFmtId="0" fontId="28" fillId="0" borderId="23" xfId="9" applyFont="1" applyFill="1" applyBorder="1" applyAlignment="1">
      <alignment horizontal="left" vertical="center" wrapText="1"/>
    </xf>
    <xf numFmtId="0" fontId="10" fillId="0" borderId="34" xfId="0" applyFont="1" applyFill="1" applyBorder="1" applyAlignment="1">
      <alignment vertical="center"/>
    </xf>
    <xf numFmtId="0" fontId="32" fillId="0" borderId="25" xfId="0" applyFont="1" applyFill="1" applyBorder="1" applyAlignment="1">
      <alignment vertical="center"/>
    </xf>
    <xf numFmtId="0" fontId="32" fillId="0" borderId="33" xfId="0" applyFont="1" applyFill="1" applyBorder="1" applyAlignment="1">
      <alignment vertical="center"/>
    </xf>
    <xf numFmtId="0" fontId="32" fillId="0" borderId="35" xfId="0" applyFont="1" applyFill="1" applyBorder="1" applyAlignment="1">
      <alignment vertical="center"/>
    </xf>
    <xf numFmtId="0" fontId="32" fillId="0" borderId="24" xfId="0" applyFont="1" applyFill="1" applyBorder="1" applyAlignment="1">
      <alignment vertical="center"/>
    </xf>
    <xf numFmtId="2" fontId="39" fillId="0" borderId="33" xfId="0" applyNumberFormat="1" applyFont="1" applyFill="1" applyBorder="1"/>
    <xf numFmtId="2" fontId="39" fillId="0" borderId="35" xfId="0" applyNumberFormat="1" applyFont="1" applyFill="1" applyBorder="1"/>
    <xf numFmtId="0" fontId="14" fillId="0" borderId="0" xfId="0" applyFont="1" applyFill="1"/>
    <xf numFmtId="0" fontId="10" fillId="0" borderId="0" xfId="0" applyFont="1" applyFill="1"/>
    <xf numFmtId="0" fontId="1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50" fillId="2" borderId="0" xfId="104" applyFont="1" applyFill="1" applyAlignment="1">
      <alignment vertical="top"/>
    </xf>
    <xf numFmtId="0" fontId="4" fillId="0" borderId="0" xfId="104"/>
    <xf numFmtId="0" fontId="28" fillId="2" borderId="0" xfId="104" applyFont="1" applyFill="1" applyAlignment="1">
      <alignment vertical="top"/>
    </xf>
    <xf numFmtId="0" fontId="28" fillId="0" borderId="0" xfId="104" applyFont="1" applyAlignment="1">
      <alignment horizontal="left" vertical="center" indent="15"/>
    </xf>
    <xf numFmtId="0" fontId="50" fillId="0" borderId="0" xfId="104" applyFont="1" applyAlignment="1">
      <alignment vertical="center" wrapText="1"/>
    </xf>
    <xf numFmtId="0" fontId="55" fillId="0" borderId="0" xfId="105" applyFont="1" applyAlignment="1">
      <alignment vertical="center"/>
    </xf>
    <xf numFmtId="0" fontId="55" fillId="0" borderId="0" xfId="105" applyFont="1" applyAlignment="1">
      <alignment horizontal="center" vertical="center"/>
    </xf>
    <xf numFmtId="0" fontId="55" fillId="0" borderId="0" xfId="105" applyFont="1" applyAlignment="1">
      <alignment vertical="center" wrapText="1"/>
    </xf>
    <xf numFmtId="0" fontId="47" fillId="0" borderId="0" xfId="106" applyFont="1" applyAlignment="1">
      <alignment vertical="center"/>
    </xf>
    <xf numFmtId="0" fontId="47" fillId="0" borderId="0" xfId="107" applyFont="1"/>
    <xf numFmtId="0" fontId="42" fillId="0" borderId="0" xfId="105" applyFont="1" applyAlignment="1">
      <alignment horizontal="left" vertical="center"/>
    </xf>
    <xf numFmtId="0" fontId="56" fillId="0" borderId="0" xfId="108" applyFont="1" applyAlignment="1">
      <alignment vertical="center"/>
    </xf>
    <xf numFmtId="49" fontId="57" fillId="0" borderId="79" xfId="105" quotePrefix="1" applyNumberFormat="1" applyFont="1" applyBorder="1" applyAlignment="1">
      <alignment horizontal="left" vertical="center" indent="1"/>
    </xf>
    <xf numFmtId="49" fontId="58" fillId="0" borderId="79" xfId="105" applyNumberFormat="1" applyFont="1" applyBorder="1" applyAlignment="1">
      <alignment vertical="center"/>
    </xf>
    <xf numFmtId="49" fontId="58" fillId="0" borderId="0" xfId="105" applyNumberFormat="1" applyFont="1" applyAlignment="1">
      <alignment horizontal="left" vertical="center" wrapText="1" indent="4"/>
    </xf>
    <xf numFmtId="0" fontId="55" fillId="0" borderId="80" xfId="105" applyFont="1" applyBorder="1" applyAlignment="1">
      <alignment horizontal="center" vertical="center" wrapText="1"/>
    </xf>
    <xf numFmtId="0" fontId="47" fillId="0" borderId="80" xfId="106" applyFont="1" applyBorder="1" applyAlignment="1">
      <alignment horizontal="center" vertical="center" wrapText="1"/>
    </xf>
    <xf numFmtId="0" fontId="47" fillId="0" borderId="55" xfId="106" applyFont="1" applyBorder="1" applyAlignment="1">
      <alignment horizontal="center" vertical="center" wrapText="1"/>
    </xf>
    <xf numFmtId="0" fontId="55" fillId="0" borderId="0" xfId="105" applyFont="1" applyAlignment="1">
      <alignment horizontal="center" vertical="center" wrapText="1"/>
    </xf>
    <xf numFmtId="0" fontId="47" fillId="0" borderId="56" xfId="106" applyFont="1" applyBorder="1" applyAlignment="1">
      <alignment horizontal="center" vertical="center" wrapText="1"/>
    </xf>
    <xf numFmtId="49" fontId="47" fillId="0" borderId="0" xfId="106" applyNumberFormat="1" applyFont="1" applyAlignment="1">
      <alignment vertical="center"/>
    </xf>
    <xf numFmtId="0" fontId="47" fillId="0" borderId="0" xfId="105" applyFont="1" applyAlignment="1">
      <alignment vertical="center"/>
    </xf>
    <xf numFmtId="0" fontId="47" fillId="0" borderId="0" xfId="106" applyFont="1"/>
    <xf numFmtId="0" fontId="46" fillId="20" borderId="81" xfId="0" applyNumberFormat="1" applyFont="1" applyFill="1" applyBorder="1" applyAlignment="1">
      <alignment horizontal="left" vertical="center"/>
    </xf>
    <xf numFmtId="0" fontId="46" fillId="20" borderId="0" xfId="0" applyNumberFormat="1" applyFont="1" applyFill="1" applyBorder="1" applyAlignment="1">
      <alignment horizontal="left" vertical="center"/>
    </xf>
    <xf numFmtId="0" fontId="47" fillId="0" borderId="0" xfId="106" applyFont="1" applyAlignment="1">
      <alignment horizontal="left" vertical="center"/>
    </xf>
    <xf numFmtId="0" fontId="58" fillId="0" borderId="0" xfId="105" applyFont="1" applyAlignment="1">
      <alignment vertical="center" wrapText="1"/>
    </xf>
    <xf numFmtId="0" fontId="55" fillId="0" borderId="0" xfId="105" applyFont="1" applyAlignment="1">
      <alignment horizontal="left" vertical="center" wrapText="1"/>
    </xf>
    <xf numFmtId="49" fontId="43" fillId="0" borderId="80" xfId="105" applyNumberFormat="1" applyFont="1" applyBorder="1" applyAlignment="1">
      <alignment horizontal="center" vertical="center" wrapText="1"/>
    </xf>
    <xf numFmtId="0" fontId="43" fillId="0" borderId="80" xfId="105" applyFont="1" applyBorder="1" applyAlignment="1">
      <alignment vertical="center" wrapText="1"/>
    </xf>
    <xf numFmtId="0" fontId="43" fillId="0" borderId="80" xfId="105" applyFont="1" applyBorder="1" applyAlignment="1">
      <alignment horizontal="center" vertical="center" wrapText="1"/>
    </xf>
    <xf numFmtId="4" fontId="57" fillId="21" borderId="80" xfId="105" applyNumberFormat="1" applyFont="1" applyFill="1" applyBorder="1" applyAlignment="1">
      <alignment horizontal="right" vertical="center"/>
    </xf>
    <xf numFmtId="4" fontId="57" fillId="22" borderId="80" xfId="105" applyNumberFormat="1" applyFont="1" applyFill="1" applyBorder="1" applyAlignment="1" applyProtection="1">
      <alignment horizontal="right" vertical="center"/>
      <protection locked="0"/>
    </xf>
    <xf numFmtId="49" fontId="47" fillId="22" borderId="55" xfId="106" applyNumberFormat="1" applyFont="1" applyFill="1" applyBorder="1" applyAlignment="1" applyProtection="1">
      <alignment horizontal="left" vertical="center" wrapText="1"/>
      <protection locked="0"/>
    </xf>
    <xf numFmtId="0" fontId="58" fillId="0" borderId="0" xfId="105" applyFont="1" applyAlignment="1">
      <alignment horizontal="center" vertical="center" wrapText="1"/>
    </xf>
    <xf numFmtId="0" fontId="55" fillId="0" borderId="0" xfId="105" applyFont="1" applyAlignment="1">
      <alignment horizontal="left" vertical="center"/>
    </xf>
    <xf numFmtId="49" fontId="47" fillId="0" borderId="80" xfId="105" applyNumberFormat="1" applyFont="1" applyBorder="1" applyAlignment="1">
      <alignment horizontal="center" vertical="center"/>
    </xf>
    <xf numFmtId="0" fontId="47" fillId="0" borderId="80" xfId="105" applyFont="1" applyBorder="1" applyAlignment="1">
      <alignment horizontal="left" vertical="center" wrapText="1" indent="1"/>
    </xf>
    <xf numFmtId="0" fontId="47" fillId="0" borderId="80" xfId="105" applyFont="1" applyBorder="1" applyAlignment="1">
      <alignment horizontal="center" vertical="center"/>
    </xf>
    <xf numFmtId="167" fontId="47" fillId="22" borderId="80" xfId="105" applyNumberFormat="1" applyFont="1" applyFill="1" applyBorder="1" applyAlignment="1" applyProtection="1">
      <alignment horizontal="right" vertical="center"/>
      <protection locked="0"/>
    </xf>
    <xf numFmtId="167" fontId="47" fillId="21" borderId="80" xfId="105" applyNumberFormat="1" applyFont="1" applyFill="1" applyBorder="1" applyAlignment="1">
      <alignment horizontal="right" vertical="center"/>
    </xf>
    <xf numFmtId="4" fontId="47" fillId="21" borderId="80" xfId="105" applyNumberFormat="1" applyFont="1" applyFill="1" applyBorder="1" applyAlignment="1">
      <alignment horizontal="right" vertical="center"/>
    </xf>
    <xf numFmtId="4" fontId="47" fillId="0" borderId="80" xfId="105" applyNumberFormat="1" applyFont="1" applyBorder="1" applyAlignment="1">
      <alignment horizontal="right" vertical="center"/>
    </xf>
    <xf numFmtId="0" fontId="43" fillId="0" borderId="80" xfId="105" applyFont="1" applyBorder="1" applyAlignment="1">
      <alignment horizontal="left" vertical="center" wrapText="1" indent="1"/>
    </xf>
    <xf numFmtId="4" fontId="57" fillId="0" borderId="80" xfId="105" applyNumberFormat="1" applyFont="1" applyBorder="1" applyAlignment="1">
      <alignment horizontal="right" vertical="center"/>
    </xf>
    <xf numFmtId="49" fontId="57" fillId="22" borderId="55" xfId="106" applyNumberFormat="1" applyFont="1" applyFill="1" applyBorder="1" applyAlignment="1" applyProtection="1">
      <alignment horizontal="left" vertical="center" wrapText="1"/>
      <protection locked="0"/>
    </xf>
    <xf numFmtId="0" fontId="47" fillId="0" borderId="80" xfId="105" applyFont="1" applyBorder="1" applyAlignment="1">
      <alignment horizontal="left" vertical="center" wrapText="1" indent="2"/>
    </xf>
    <xf numFmtId="0" fontId="47" fillId="0" borderId="80" xfId="105" applyFont="1" applyBorder="1" applyAlignment="1">
      <alignment horizontal="center" vertical="center" wrapText="1"/>
    </xf>
    <xf numFmtId="0" fontId="59" fillId="0" borderId="0" xfId="105" applyFont="1" applyAlignment="1">
      <alignment vertical="center"/>
    </xf>
    <xf numFmtId="0" fontId="0" fillId="0" borderId="80" xfId="105" applyFont="1" applyBorder="1" applyAlignment="1">
      <alignment horizontal="left" vertical="center" wrapText="1" indent="3"/>
    </xf>
    <xf numFmtId="0" fontId="0" fillId="0" borderId="80" xfId="105" applyFont="1" applyBorder="1" applyAlignment="1">
      <alignment horizontal="center" vertical="center" wrapText="1"/>
    </xf>
    <xf numFmtId="4" fontId="47" fillId="22" borderId="80" xfId="105" applyNumberFormat="1" applyFont="1" applyFill="1" applyBorder="1" applyAlignment="1" applyProtection="1">
      <alignment horizontal="right" vertical="center"/>
      <protection locked="0"/>
    </xf>
    <xf numFmtId="0" fontId="47" fillId="0" borderId="80" xfId="105" applyFont="1" applyBorder="1" applyAlignment="1">
      <alignment horizontal="left" vertical="center" wrapText="1" indent="3"/>
    </xf>
    <xf numFmtId="4" fontId="47" fillId="23" borderId="80" xfId="105" applyNumberFormat="1" applyFont="1" applyFill="1" applyBorder="1" applyAlignment="1">
      <alignment horizontal="right" vertical="center"/>
    </xf>
    <xf numFmtId="0" fontId="47" fillId="0" borderId="0" xfId="109" applyFont="1" applyAlignment="1">
      <alignment horizontal="left" vertical="center"/>
    </xf>
    <xf numFmtId="4" fontId="47" fillId="21" borderId="80" xfId="110" applyNumberFormat="1" applyFont="1" applyFill="1" applyBorder="1" applyAlignment="1">
      <alignment horizontal="right" vertical="center"/>
    </xf>
    <xf numFmtId="0" fontId="0" fillId="0" borderId="80" xfId="105" applyFont="1" applyBorder="1" applyAlignment="1">
      <alignment horizontal="left" vertical="center" wrapText="1" indent="2"/>
    </xf>
    <xf numFmtId="0" fontId="47" fillId="2" borderId="80" xfId="105" applyFont="1" applyFill="1" applyBorder="1" applyAlignment="1">
      <alignment horizontal="left" vertical="center" wrapText="1" indent="3"/>
    </xf>
    <xf numFmtId="0" fontId="58" fillId="0" borderId="0" xfId="105" applyFont="1" applyAlignment="1">
      <alignment vertical="center"/>
    </xf>
    <xf numFmtId="49" fontId="57" fillId="0" borderId="80" xfId="105" applyNumberFormat="1" applyFont="1" applyBorder="1" applyAlignment="1">
      <alignment horizontal="center" vertical="center"/>
    </xf>
    <xf numFmtId="0" fontId="57" fillId="0" borderId="80" xfId="105" applyFont="1" applyBorder="1" applyAlignment="1">
      <alignment horizontal="left" vertical="center" wrapText="1" indent="1"/>
    </xf>
    <xf numFmtId="0" fontId="57" fillId="0" borderId="80" xfId="105" applyFont="1" applyBorder="1" applyAlignment="1">
      <alignment horizontal="center" vertical="center"/>
    </xf>
    <xf numFmtId="4" fontId="57" fillId="23" borderId="80" xfId="105" applyNumberFormat="1" applyFont="1" applyFill="1" applyBorder="1" applyAlignment="1">
      <alignment horizontal="right" vertical="center"/>
    </xf>
    <xf numFmtId="0" fontId="1" fillId="0" borderId="0" xfId="110"/>
    <xf numFmtId="0" fontId="47" fillId="2" borderId="80" xfId="105" applyFont="1" applyFill="1" applyBorder="1" applyAlignment="1">
      <alignment horizontal="center" vertical="center"/>
    </xf>
    <xf numFmtId="49" fontId="47" fillId="0" borderId="55" xfId="106" applyNumberFormat="1" applyFont="1" applyBorder="1" applyAlignment="1">
      <alignment horizontal="left" vertical="center" wrapText="1"/>
    </xf>
    <xf numFmtId="0" fontId="60" fillId="0" borderId="0" xfId="105" applyFont="1" applyAlignment="1">
      <alignment vertical="center"/>
    </xf>
    <xf numFmtId="0" fontId="61" fillId="24" borderId="82" xfId="0" applyFont="1" applyFill="1" applyBorder="1" applyAlignment="1">
      <alignment horizontal="left" vertical="center" wrapText="1" indent="1"/>
    </xf>
    <xf numFmtId="0" fontId="61" fillId="24" borderId="83" xfId="0" applyFont="1" applyFill="1" applyBorder="1" applyAlignment="1">
      <alignment horizontal="left" vertical="center" wrapText="1" indent="2"/>
    </xf>
    <xf numFmtId="0" fontId="61" fillId="24" borderId="83" xfId="0" applyFont="1" applyFill="1" applyBorder="1" applyAlignment="1">
      <alignment horizontal="left" vertical="center" wrapText="1" indent="1"/>
    </xf>
    <xf numFmtId="0" fontId="61" fillId="24" borderId="84" xfId="0" applyFont="1" applyFill="1" applyBorder="1" applyAlignment="1">
      <alignment horizontal="left" vertical="center" wrapText="1" indent="1"/>
    </xf>
    <xf numFmtId="0" fontId="47" fillId="2" borderId="80" xfId="105" applyFont="1" applyFill="1" applyBorder="1" applyAlignment="1">
      <alignment horizontal="center" vertical="center" wrapText="1"/>
    </xf>
    <xf numFmtId="0" fontId="47" fillId="2" borderId="80" xfId="105" applyFont="1" applyFill="1" applyBorder="1" applyAlignment="1">
      <alignment horizontal="left" vertical="center" wrapText="1" indent="2"/>
    </xf>
    <xf numFmtId="0" fontId="47" fillId="2" borderId="80" xfId="105" applyFont="1" applyFill="1" applyBorder="1" applyAlignment="1">
      <alignment horizontal="left" vertical="center" wrapText="1" indent="1"/>
    </xf>
    <xf numFmtId="4" fontId="0" fillId="22" borderId="80" xfId="105" applyNumberFormat="1" applyFont="1" applyFill="1" applyBorder="1" applyAlignment="1" applyProtection="1">
      <alignment horizontal="right" vertical="center" wrapText="1"/>
      <protection locked="0"/>
    </xf>
    <xf numFmtId="0" fontId="42" fillId="0" borderId="80" xfId="105" applyFont="1" applyBorder="1" applyAlignment="1">
      <alignment horizontal="left" vertical="center" wrapText="1" indent="1"/>
    </xf>
    <xf numFmtId="0" fontId="57" fillId="0" borderId="80" xfId="105" applyFont="1" applyBorder="1" applyAlignment="1">
      <alignment vertical="center" wrapText="1"/>
    </xf>
    <xf numFmtId="4" fontId="47" fillId="22" borderId="80" xfId="110" applyNumberFormat="1" applyFont="1" applyFill="1" applyBorder="1" applyAlignment="1" applyProtection="1">
      <alignment horizontal="right" vertical="center"/>
      <protection locked="0"/>
    </xf>
    <xf numFmtId="0" fontId="47" fillId="0" borderId="80" xfId="105" applyFont="1" applyBorder="1" applyAlignment="1">
      <alignment horizontal="left" vertical="center" wrapText="1"/>
    </xf>
    <xf numFmtId="0" fontId="55" fillId="25" borderId="0" xfId="105" applyFont="1" applyFill="1" applyAlignment="1">
      <alignment vertical="center"/>
    </xf>
    <xf numFmtId="0" fontId="57" fillId="0" borderId="80" xfId="105" applyFont="1" applyBorder="1" applyAlignment="1">
      <alignment horizontal="left" vertical="center" wrapText="1"/>
    </xf>
    <xf numFmtId="0" fontId="0" fillId="0" borderId="80" xfId="105" applyFont="1" applyBorder="1" applyAlignment="1">
      <alignment horizontal="left" vertical="center" wrapText="1" indent="1"/>
    </xf>
    <xf numFmtId="0" fontId="0" fillId="2" borderId="80" xfId="105" applyFont="1" applyFill="1" applyBorder="1" applyAlignment="1">
      <alignment horizontal="left" vertical="center" wrapText="1" indent="2"/>
    </xf>
    <xf numFmtId="49" fontId="47" fillId="2" borderId="80" xfId="105" applyNumberFormat="1" applyFont="1" applyFill="1" applyBorder="1" applyAlignment="1">
      <alignment horizontal="center" vertical="center"/>
    </xf>
    <xf numFmtId="4" fontId="57" fillId="23" borderId="80" xfId="110" applyNumberFormat="1" applyFont="1" applyFill="1" applyBorder="1" applyAlignment="1">
      <alignment horizontal="right" vertical="center"/>
    </xf>
    <xf numFmtId="0" fontId="1" fillId="0" borderId="0" xfId="110" applyFont="1"/>
    <xf numFmtId="167" fontId="57" fillId="23" borderId="80" xfId="105" applyNumberFormat="1" applyFont="1" applyFill="1" applyBorder="1" applyAlignment="1">
      <alignment horizontal="right" vertical="center"/>
    </xf>
    <xf numFmtId="167" fontId="47" fillId="22" borderId="80" xfId="110" applyNumberFormat="1" applyFont="1" applyFill="1" applyBorder="1" applyAlignment="1" applyProtection="1">
      <alignment horizontal="right" vertical="center"/>
      <protection locked="0"/>
    </xf>
    <xf numFmtId="167" fontId="47" fillId="21" borderId="80" xfId="110" applyNumberFormat="1" applyFont="1" applyFill="1" applyBorder="1" applyAlignment="1">
      <alignment horizontal="right" vertical="center"/>
    </xf>
    <xf numFmtId="49" fontId="0" fillId="0" borderId="80" xfId="105" applyNumberFormat="1" applyFont="1" applyBorder="1" applyAlignment="1">
      <alignment horizontal="center" vertical="center"/>
    </xf>
    <xf numFmtId="0" fontId="0" fillId="0" borderId="80" xfId="105" applyFont="1" applyBorder="1" applyAlignment="1">
      <alignment horizontal="center" vertical="center"/>
    </xf>
    <xf numFmtId="0" fontId="62" fillId="0" borderId="0" xfId="0" applyFont="1" applyAlignment="1">
      <alignment horizontal="center" vertical="center" wrapText="1"/>
    </xf>
    <xf numFmtId="0" fontId="47" fillId="24" borderId="83" xfId="106" applyFont="1" applyFill="1" applyBorder="1" applyAlignment="1">
      <alignment vertical="center" wrapText="1"/>
    </xf>
    <xf numFmtId="0" fontId="47" fillId="24" borderId="84" xfId="106" applyFont="1" applyFill="1" applyBorder="1" applyAlignment="1">
      <alignment vertical="center" wrapText="1"/>
    </xf>
    <xf numFmtId="0" fontId="42" fillId="0" borderId="80" xfId="105" applyFont="1" applyBorder="1" applyAlignment="1">
      <alignment horizontal="center" vertical="center" wrapText="1"/>
    </xf>
    <xf numFmtId="49" fontId="42" fillId="22" borderId="80" xfId="105" applyNumberFormat="1" applyFont="1" applyFill="1" applyBorder="1" applyAlignment="1" applyProtection="1">
      <alignment horizontal="left" vertical="top" wrapText="1"/>
      <protection locked="0"/>
    </xf>
    <xf numFmtId="49" fontId="42" fillId="26" borderId="80" xfId="105" applyNumberFormat="1" applyFont="1" applyFill="1" applyBorder="1" applyAlignment="1">
      <alignment horizontal="left" vertical="top" wrapText="1"/>
    </xf>
    <xf numFmtId="0" fontId="61" fillId="24" borderId="82" xfId="0" applyFont="1" applyFill="1" applyBorder="1" applyAlignment="1">
      <alignment vertical="center"/>
    </xf>
    <xf numFmtId="0" fontId="61" fillId="24" borderId="83" xfId="0" applyFont="1" applyFill="1" applyBorder="1" applyAlignment="1">
      <alignment vertical="center"/>
    </xf>
    <xf numFmtId="0" fontId="56" fillId="17" borderId="80" xfId="105" applyFont="1" applyFill="1" applyBorder="1" applyAlignment="1">
      <alignment horizontal="center" vertical="center" wrapText="1"/>
    </xf>
    <xf numFmtId="0" fontId="55" fillId="0" borderId="80" xfId="105" applyFont="1" applyBorder="1" applyAlignment="1">
      <alignment horizontal="center" vertical="center" wrapText="1"/>
    </xf>
    <xf numFmtId="2" fontId="32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2" fontId="28" fillId="0" borderId="77" xfId="0" applyNumberFormat="1" applyFont="1" applyBorder="1" applyAlignment="1">
      <alignment horizontal="left"/>
    </xf>
    <xf numFmtId="2" fontId="28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31" fillId="0" borderId="0" xfId="0" applyFont="1" applyFill="1" applyAlignment="1" applyProtection="1">
      <alignment horizontal="center"/>
      <protection locked="0"/>
    </xf>
    <xf numFmtId="49" fontId="28" fillId="0" borderId="41" xfId="7" applyNumberFormat="1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left" vertical="center" wrapText="1"/>
    </xf>
    <xf numFmtId="0" fontId="37" fillId="2" borderId="5" xfId="2" applyFont="1" applyFill="1" applyBorder="1" applyAlignment="1">
      <alignment horizontal="center"/>
    </xf>
    <xf numFmtId="0" fontId="27" fillId="0" borderId="1" xfId="3" applyFont="1" applyFill="1" applyBorder="1" applyAlignment="1">
      <alignment horizontal="center" vertical="center"/>
    </xf>
    <xf numFmtId="0" fontId="27" fillId="0" borderId="2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27" fillId="0" borderId="4" xfId="4" applyFont="1" applyFill="1" applyBorder="1" applyAlignment="1">
      <alignment horizontal="center" vertical="center"/>
    </xf>
    <xf numFmtId="0" fontId="27" fillId="0" borderId="5" xfId="4" applyFont="1" applyFill="1" applyBorder="1" applyAlignment="1">
      <alignment horizontal="center" vertical="center"/>
    </xf>
    <xf numFmtId="0" fontId="27" fillId="0" borderId="6" xfId="4" applyFont="1" applyFill="1" applyBorder="1" applyAlignment="1">
      <alignment horizontal="center" vertical="center"/>
    </xf>
    <xf numFmtId="0" fontId="27" fillId="0" borderId="39" xfId="6" applyFont="1" applyFill="1" applyBorder="1" applyAlignment="1">
      <alignment horizontal="center" vertical="center" wrapText="1"/>
    </xf>
    <xf numFmtId="0" fontId="27" fillId="0" borderId="40" xfId="6" applyFont="1" applyFill="1" applyBorder="1" applyAlignment="1">
      <alignment horizontal="center" vertical="center" wrapText="1"/>
    </xf>
    <xf numFmtId="0" fontId="27" fillId="0" borderId="14" xfId="6" applyFont="1" applyFill="1" applyBorder="1" applyAlignment="1">
      <alignment horizontal="center" vertical="center" wrapText="1"/>
    </xf>
    <xf numFmtId="0" fontId="27" fillId="0" borderId="9" xfId="6" applyFont="1" applyFill="1" applyBorder="1" applyAlignment="1">
      <alignment horizontal="center" vertical="center" wrapText="1"/>
    </xf>
    <xf numFmtId="49" fontId="28" fillId="0" borderId="41" xfId="3" applyNumberFormat="1" applyFont="1" applyFill="1" applyBorder="1" applyAlignment="1">
      <alignment horizontal="center" vertical="center"/>
    </xf>
    <xf numFmtId="0" fontId="27" fillId="0" borderId="32" xfId="6" applyFont="1" applyFill="1" applyBorder="1" applyAlignment="1">
      <alignment horizontal="center" vertical="center" wrapText="1"/>
    </xf>
    <xf numFmtId="0" fontId="27" fillId="0" borderId="44" xfId="6" applyFont="1" applyFill="1" applyBorder="1" applyAlignment="1">
      <alignment horizontal="center" vertical="center" wrapText="1"/>
    </xf>
    <xf numFmtId="0" fontId="27" fillId="0" borderId="28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29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7" fillId="0" borderId="30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30" xfId="6" applyFont="1" applyFill="1" applyBorder="1" applyAlignment="1">
      <alignment horizontal="center" vertical="center" wrapText="1"/>
    </xf>
    <xf numFmtId="0" fontId="27" fillId="0" borderId="18" xfId="6" applyFont="1" applyFill="1" applyBorder="1" applyAlignment="1">
      <alignment horizontal="center" vertical="center" wrapText="1"/>
    </xf>
    <xf numFmtId="0" fontId="27" fillId="0" borderId="28" xfId="6" applyFont="1" applyFill="1" applyBorder="1" applyAlignment="1">
      <alignment horizontal="center" vertical="center" wrapText="1"/>
    </xf>
    <xf numFmtId="0" fontId="27" fillId="0" borderId="16" xfId="6" applyFont="1" applyFill="1" applyBorder="1" applyAlignment="1">
      <alignment horizontal="center" vertical="center" wrapText="1"/>
    </xf>
    <xf numFmtId="0" fontId="27" fillId="0" borderId="29" xfId="6" applyFont="1" applyFill="1" applyBorder="1" applyAlignment="1">
      <alignment horizontal="center" vertical="center" wrapText="1"/>
    </xf>
    <xf numFmtId="0" fontId="27" fillId="0" borderId="10" xfId="5" applyFont="1" applyFill="1" applyBorder="1" applyAlignment="1">
      <alignment horizontal="center" vertical="center"/>
    </xf>
    <xf numFmtId="0" fontId="27" fillId="0" borderId="41" xfId="5" applyFont="1" applyFill="1" applyBorder="1" applyAlignment="1">
      <alignment horizontal="center" vertical="center"/>
    </xf>
    <xf numFmtId="0" fontId="27" fillId="0" borderId="52" xfId="5" applyFont="1" applyFill="1" applyBorder="1" applyAlignment="1">
      <alignment horizontal="center" vertical="center"/>
    </xf>
    <xf numFmtId="0" fontId="27" fillId="0" borderId="13" xfId="5" applyFont="1" applyFill="1" applyBorder="1" applyAlignment="1">
      <alignment horizontal="center" vertical="center"/>
    </xf>
    <xf numFmtId="0" fontId="27" fillId="0" borderId="31" xfId="5" applyFont="1" applyFill="1" applyBorder="1" applyAlignment="1">
      <alignment horizontal="center" vertical="center"/>
    </xf>
    <xf numFmtId="0" fontId="27" fillId="0" borderId="43" xfId="5" applyFont="1" applyFill="1" applyBorder="1" applyAlignment="1">
      <alignment horizontal="center" vertical="center"/>
    </xf>
    <xf numFmtId="0" fontId="27" fillId="0" borderId="8" xfId="5" applyFont="1" applyFill="1" applyBorder="1" applyAlignment="1">
      <alignment horizontal="center" vertical="center"/>
    </xf>
    <xf numFmtId="0" fontId="27" fillId="0" borderId="20" xfId="5" applyFont="1" applyFill="1" applyBorder="1" applyAlignment="1">
      <alignment horizontal="center" vertical="center"/>
    </xf>
    <xf numFmtId="0" fontId="27" fillId="0" borderId="45" xfId="5" applyFont="1" applyFill="1" applyBorder="1" applyAlignment="1">
      <alignment horizontal="center" vertical="center"/>
    </xf>
    <xf numFmtId="0" fontId="43" fillId="0" borderId="39" xfId="6" applyFont="1" applyFill="1" applyBorder="1" applyAlignment="1" applyProtection="1">
      <alignment horizontal="center" vertical="center" wrapText="1"/>
    </xf>
    <xf numFmtId="0" fontId="43" fillId="0" borderId="16" xfId="3" applyFont="1" applyFill="1" applyBorder="1" applyAlignment="1" applyProtection="1">
      <alignment horizontal="center" vertical="center" wrapText="1"/>
    </xf>
    <xf numFmtId="0" fontId="43" fillId="0" borderId="22" xfId="3" applyFont="1" applyFill="1" applyBorder="1" applyAlignment="1" applyProtection="1">
      <alignment horizontal="center" vertical="center" wrapText="1"/>
    </xf>
    <xf numFmtId="49" fontId="42" fillId="0" borderId="30" xfId="3" applyNumberFormat="1" applyFont="1" applyFill="1" applyBorder="1" applyAlignment="1" applyProtection="1">
      <alignment horizontal="center" vertical="center"/>
    </xf>
    <xf numFmtId="0" fontId="42" fillId="0" borderId="28" xfId="9" applyFont="1" applyFill="1" applyBorder="1" applyAlignment="1">
      <alignment horizontal="left" vertical="center" wrapText="1"/>
    </xf>
    <xf numFmtId="0" fontId="43" fillId="0" borderId="14" xfId="5" applyFont="1" applyFill="1" applyBorder="1" applyAlignment="1" applyProtection="1">
      <alignment horizontal="center" vertical="center"/>
    </xf>
    <xf numFmtId="0" fontId="43" fillId="0" borderId="21" xfId="5" applyFont="1" applyFill="1" applyBorder="1" applyAlignment="1" applyProtection="1">
      <alignment horizontal="center" vertical="center"/>
    </xf>
    <xf numFmtId="0" fontId="43" fillId="0" borderId="30" xfId="5" applyFont="1" applyFill="1" applyBorder="1" applyAlignment="1" applyProtection="1">
      <alignment horizontal="center" vertical="center"/>
    </xf>
    <xf numFmtId="0" fontId="43" fillId="0" borderId="39" xfId="5" applyFont="1" applyFill="1" applyBorder="1" applyAlignment="1" applyProtection="1">
      <alignment horizontal="center" vertical="center"/>
    </xf>
    <xf numFmtId="0" fontId="43" fillId="0" borderId="22" xfId="5" applyFont="1" applyFill="1" applyBorder="1" applyAlignment="1" applyProtection="1">
      <alignment horizontal="center" vertical="center"/>
    </xf>
    <xf numFmtId="0" fontId="43" fillId="0" borderId="28" xfId="5" applyFont="1" applyFill="1" applyBorder="1" applyAlignment="1" applyProtection="1">
      <alignment horizontal="center" vertical="center"/>
    </xf>
    <xf numFmtId="49" fontId="42" fillId="0" borderId="30" xfId="7" applyNumberFormat="1" applyFont="1" applyFill="1" applyBorder="1" applyAlignment="1" applyProtection="1">
      <alignment horizontal="center" vertical="center" wrapText="1"/>
    </xf>
    <xf numFmtId="0" fontId="51" fillId="2" borderId="28" xfId="15" applyFont="1" applyFill="1" applyBorder="1">
      <alignment horizontal="right" vertical="center" wrapText="1" indent="1"/>
    </xf>
    <xf numFmtId="0" fontId="51" fillId="2" borderId="28" xfId="16" applyFont="1" applyFill="1" applyBorder="1">
      <alignment horizontal="right" vertical="center" wrapText="1" indent="1"/>
    </xf>
    <xf numFmtId="0" fontId="50" fillId="2" borderId="28" xfId="18" applyFont="1" applyFill="1" applyBorder="1">
      <alignment horizontal="right" vertical="center" wrapText="1" indent="1"/>
    </xf>
    <xf numFmtId="0" fontId="50" fillId="2" borderId="28" xfId="19" applyFont="1" applyFill="1" applyBorder="1">
      <alignment horizontal="right" vertical="center" wrapText="1" indent="1"/>
    </xf>
    <xf numFmtId="0" fontId="51" fillId="2" borderId="28" xfId="14" applyFont="1" applyFill="1" applyBorder="1">
      <alignment horizontal="center" vertical="center"/>
    </xf>
    <xf numFmtId="0" fontId="51" fillId="2" borderId="28" xfId="12" applyFont="1" applyFill="1" applyBorder="1">
      <alignment horizontal="center" vertical="center" wrapText="1"/>
    </xf>
    <xf numFmtId="0" fontId="50" fillId="2" borderId="28" xfId="27" applyFont="1" applyFill="1" applyBorder="1">
      <alignment horizontal="center" vertical="center" wrapText="1"/>
    </xf>
    <xf numFmtId="0" fontId="50" fillId="2" borderId="28" xfId="28" applyFont="1" applyFill="1" applyBorder="1">
      <alignment horizontal="center" vertical="center" wrapText="1"/>
    </xf>
    <xf numFmtId="0" fontId="50" fillId="2" borderId="28" xfId="23" applyFont="1" applyFill="1" applyBorder="1">
      <alignment horizontal="center" vertical="center" wrapText="1"/>
    </xf>
    <xf numFmtId="0" fontId="50" fillId="2" borderId="28" xfId="31" applyFont="1" applyFill="1" applyBorder="1">
      <alignment horizontal="center" vertical="center" wrapText="1"/>
    </xf>
    <xf numFmtId="0" fontId="50" fillId="2" borderId="28" xfId="37" applyFont="1" applyFill="1" applyBorder="1">
      <alignment horizontal="center" vertical="center" wrapText="1"/>
    </xf>
    <xf numFmtId="0" fontId="50" fillId="2" borderId="28" xfId="32" applyFont="1" applyFill="1" applyBorder="1">
      <alignment horizontal="center" vertical="center" wrapText="1"/>
    </xf>
    <xf numFmtId="0" fontId="50" fillId="2" borderId="28" xfId="33" applyFont="1" applyFill="1" applyBorder="1">
      <alignment horizontal="center" vertical="center" wrapText="1"/>
    </xf>
    <xf numFmtId="0" fontId="51" fillId="2" borderId="0" xfId="12" applyFont="1" applyFill="1" applyBorder="1">
      <alignment horizontal="center" vertical="center" wrapText="1"/>
    </xf>
    <xf numFmtId="0" fontId="50" fillId="2" borderId="28" xfId="17" applyFont="1" applyFill="1" applyBorder="1">
      <alignment horizontal="center" vertical="center" wrapText="1"/>
    </xf>
    <xf numFmtId="49" fontId="50" fillId="2" borderId="28" xfId="41" applyFont="1" applyFill="1" applyBorder="1">
      <alignment horizontal="center" vertical="center" wrapText="1"/>
    </xf>
    <xf numFmtId="0" fontId="50" fillId="2" borderId="28" xfId="40" applyFont="1" applyFill="1" applyBorder="1">
      <alignment horizontal="center" vertical="center"/>
    </xf>
    <xf numFmtId="0" fontId="50" fillId="2" borderId="28" xfId="50" applyFont="1" applyFill="1" applyBorder="1">
      <alignment horizontal="center" vertical="center"/>
    </xf>
    <xf numFmtId="0" fontId="50" fillId="2" borderId="28" xfId="53" applyFont="1" applyFill="1" applyBorder="1">
      <alignment horizontal="center" vertical="center"/>
    </xf>
    <xf numFmtId="0" fontId="50" fillId="2" borderId="28" xfId="62" applyFont="1" applyFill="1" applyBorder="1">
      <alignment horizontal="center" vertical="center" wrapText="1"/>
    </xf>
    <xf numFmtId="0" fontId="51" fillId="2" borderId="28" xfId="14" applyFont="1" applyFill="1" applyBorder="1" applyAlignment="1">
      <alignment horizontal="center" vertical="center" wrapText="1"/>
    </xf>
    <xf numFmtId="0" fontId="51" fillId="2" borderId="28" xfId="65" applyFont="1" applyFill="1" applyBorder="1" applyAlignment="1">
      <alignment horizontal="center" vertical="center"/>
    </xf>
    <xf numFmtId="0" fontId="50" fillId="2" borderId="28" xfId="70" applyFont="1" applyFill="1" applyBorder="1">
      <alignment horizontal="left" vertical="center"/>
    </xf>
    <xf numFmtId="0" fontId="50" fillId="2" borderId="28" xfId="71" applyFont="1" applyFill="1" applyBorder="1">
      <alignment horizontal="left" vertical="center"/>
    </xf>
    <xf numFmtId="0" fontId="50" fillId="2" borderId="28" xfId="87" applyFont="1" applyFill="1" applyBorder="1">
      <alignment horizontal="left" vertical="center"/>
    </xf>
    <xf numFmtId="49" fontId="50" fillId="2" borderId="28" xfId="12" applyNumberFormat="1" applyFont="1" applyFill="1" applyBorder="1" applyAlignment="1">
      <alignment horizontal="left" vertical="center" wrapText="1"/>
    </xf>
    <xf numFmtId="0" fontId="50" fillId="2" borderId="28" xfId="0" applyFont="1" applyFill="1" applyBorder="1" applyAlignment="1">
      <alignment horizontal="center" vertical="top"/>
    </xf>
    <xf numFmtId="4" fontId="50" fillId="2" borderId="16" xfId="0" applyNumberFormat="1" applyFont="1" applyFill="1" applyBorder="1" applyAlignment="1">
      <alignment horizontal="center" vertical="top" wrapText="1"/>
    </xf>
    <xf numFmtId="0" fontId="50" fillId="2" borderId="22" xfId="0" applyFont="1" applyFill="1" applyBorder="1" applyAlignment="1">
      <alignment horizontal="center" vertical="top" wrapText="1"/>
    </xf>
    <xf numFmtId="49" fontId="50" fillId="2" borderId="28" xfId="0" applyNumberFormat="1" applyFont="1" applyFill="1" applyBorder="1" applyAlignment="1">
      <alignment horizontal="center" vertical="center" wrapText="1"/>
    </xf>
    <xf numFmtId="0" fontId="50" fillId="2" borderId="28" xfId="0" applyFont="1" applyFill="1" applyBorder="1" applyAlignment="1">
      <alignment horizontal="left" vertical="top" wrapText="1"/>
    </xf>
    <xf numFmtId="0" fontId="50" fillId="2" borderId="0" xfId="12" applyFont="1" applyFill="1" applyBorder="1">
      <alignment horizontal="center" vertical="center" wrapText="1"/>
    </xf>
    <xf numFmtId="0" fontId="50" fillId="2" borderId="0" xfId="0" applyFont="1" applyFill="1" applyAlignment="1">
      <alignment horizontal="center" vertical="center" wrapText="1"/>
    </xf>
    <xf numFmtId="0" fontId="50" fillId="2" borderId="28" xfId="0" applyFont="1" applyFill="1" applyBorder="1" applyAlignment="1">
      <alignment horizontal="center" vertical="top" wrapText="1"/>
    </xf>
    <xf numFmtId="0" fontId="50" fillId="2" borderId="42" xfId="0" applyFont="1" applyFill="1" applyBorder="1" applyAlignment="1">
      <alignment horizontal="center" vertical="center"/>
    </xf>
    <xf numFmtId="0" fontId="50" fillId="2" borderId="45" xfId="0" applyFont="1" applyFill="1" applyBorder="1" applyAlignment="1">
      <alignment horizontal="center" vertical="center"/>
    </xf>
    <xf numFmtId="0" fontId="50" fillId="2" borderId="44" xfId="0" applyFont="1" applyFill="1" applyBorder="1" applyAlignment="1">
      <alignment horizontal="center" vertical="center"/>
    </xf>
    <xf numFmtId="0" fontId="50" fillId="2" borderId="50" xfId="0" applyFont="1" applyFill="1" applyBorder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50" fillId="2" borderId="48" xfId="0" applyFont="1" applyFill="1" applyBorder="1" applyAlignment="1">
      <alignment horizontal="center" vertical="center"/>
    </xf>
    <xf numFmtId="0" fontId="50" fillId="2" borderId="36" xfId="0" applyFont="1" applyFill="1" applyBorder="1" applyAlignment="1">
      <alignment horizontal="center" vertical="center"/>
    </xf>
    <xf numFmtId="0" fontId="50" fillId="2" borderId="38" xfId="0" applyFont="1" applyFill="1" applyBorder="1" applyAlignment="1">
      <alignment horizontal="center" vertical="center"/>
    </xf>
    <xf numFmtId="0" fontId="50" fillId="2" borderId="49" xfId="0" applyFont="1" applyFill="1" applyBorder="1" applyAlignment="1">
      <alignment horizontal="center" vertical="center"/>
    </xf>
    <xf numFmtId="0" fontId="50" fillId="2" borderId="42" xfId="0" applyFont="1" applyFill="1" applyBorder="1" applyAlignment="1">
      <alignment horizontal="center" vertical="center" wrapText="1"/>
    </xf>
    <xf numFmtId="0" fontId="53" fillId="0" borderId="45" xfId="0" applyFont="1" applyBorder="1" applyAlignment="1">
      <alignment horizontal="center" vertical="center" wrapText="1"/>
    </xf>
    <xf numFmtId="0" fontId="53" fillId="0" borderId="44" xfId="0" applyFont="1" applyBorder="1" applyAlignment="1">
      <alignment horizontal="center" vertical="center" wrapText="1"/>
    </xf>
    <xf numFmtId="0" fontId="53" fillId="0" borderId="50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48" xfId="0" applyFont="1" applyBorder="1" applyAlignment="1">
      <alignment horizontal="center" vertical="center" wrapText="1"/>
    </xf>
    <xf numFmtId="0" fontId="53" fillId="0" borderId="36" xfId="0" applyFont="1" applyBorder="1" applyAlignment="1">
      <alignment horizontal="center" vertical="center" wrapText="1"/>
    </xf>
    <xf numFmtId="0" fontId="53" fillId="0" borderId="38" xfId="0" applyFont="1" applyBorder="1" applyAlignment="1">
      <alignment horizontal="center" vertical="center" wrapText="1"/>
    </xf>
    <xf numFmtId="0" fontId="53" fillId="0" borderId="49" xfId="0" applyFont="1" applyBorder="1" applyAlignment="1">
      <alignment horizontal="center" vertical="center" wrapText="1"/>
    </xf>
    <xf numFmtId="0" fontId="50" fillId="2" borderId="28" xfId="21" applyFont="1" applyFill="1" applyBorder="1">
      <alignment horizontal="center" vertical="center"/>
    </xf>
    <xf numFmtId="49" fontId="50" fillId="2" borderId="38" xfId="40" applyNumberFormat="1" applyFont="1" applyFill="1" applyBorder="1" applyAlignment="1">
      <alignment horizontal="center" vertical="center"/>
    </xf>
    <xf numFmtId="0" fontId="14" fillId="0" borderId="74" xfId="0" applyFont="1" applyBorder="1" applyAlignment="1">
      <alignment horizontal="center" vertical="center" wrapText="1"/>
    </xf>
    <xf numFmtId="0" fontId="14" fillId="0" borderId="7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0" fillId="0" borderId="0" xfId="10" applyFont="1" applyAlignment="1">
      <alignment horizontal="center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 applyAlignment="1">
      <alignment wrapText="1"/>
    </xf>
    <xf numFmtId="0" fontId="14" fillId="0" borderId="28" xfId="0" applyFont="1" applyBorder="1" applyAlignment="1">
      <alignment horizontal="center" vertical="top" wrapText="1"/>
    </xf>
    <xf numFmtId="164" fontId="10" fillId="0" borderId="28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wrapText="1"/>
    </xf>
    <xf numFmtId="2" fontId="10" fillId="0" borderId="28" xfId="0" applyNumberFormat="1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0" fillId="0" borderId="28" xfId="0" applyFont="1" applyBorder="1" applyAlignment="1">
      <alignment wrapText="1"/>
    </xf>
    <xf numFmtId="0" fontId="10" fillId="0" borderId="16" xfId="0" applyFont="1" applyBorder="1" applyAlignment="1">
      <alignment wrapText="1"/>
    </xf>
    <xf numFmtId="0" fontId="11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wrapText="1"/>
    </xf>
    <xf numFmtId="0" fontId="16" fillId="0" borderId="32" xfId="0" applyFont="1" applyBorder="1" applyAlignment="1">
      <alignment wrapText="1"/>
    </xf>
    <xf numFmtId="0" fontId="10" fillId="0" borderId="44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wrapText="1"/>
    </xf>
    <xf numFmtId="0" fontId="14" fillId="0" borderId="22" xfId="0" applyFont="1" applyBorder="1" applyAlignment="1">
      <alignment wrapText="1"/>
    </xf>
    <xf numFmtId="164" fontId="10" fillId="0" borderId="22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2" fontId="10" fillId="0" borderId="22" xfId="0" applyNumberFormat="1" applyFont="1" applyBorder="1" applyAlignment="1">
      <alignment horizontal="center" vertical="center" wrapText="1"/>
    </xf>
    <xf numFmtId="2" fontId="10" fillId="0" borderId="16" xfId="0" applyNumberFormat="1" applyFont="1" applyBorder="1" applyAlignment="1">
      <alignment horizontal="center" vertical="center" wrapText="1"/>
    </xf>
    <xf numFmtId="164" fontId="10" fillId="0" borderId="36" xfId="0" applyNumberFormat="1" applyFont="1" applyBorder="1" applyAlignment="1">
      <alignment horizontal="center" vertical="center" wrapText="1"/>
    </xf>
    <xf numFmtId="164" fontId="10" fillId="0" borderId="42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top" wrapText="1"/>
    </xf>
    <xf numFmtId="0" fontId="14" fillId="0" borderId="16" xfId="0" applyFont="1" applyBorder="1" applyAlignment="1">
      <alignment wrapText="1"/>
    </xf>
    <xf numFmtId="0" fontId="10" fillId="0" borderId="19" xfId="0" applyFont="1" applyBorder="1" applyAlignment="1">
      <alignment horizontal="center" wrapText="1"/>
    </xf>
    <xf numFmtId="0" fontId="14" fillId="0" borderId="44" xfId="0" applyFont="1" applyBorder="1" applyAlignment="1">
      <alignment vertical="center" wrapText="1"/>
    </xf>
    <xf numFmtId="0" fontId="14" fillId="0" borderId="49" xfId="0" applyFont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14" fillId="0" borderId="28" xfId="0" applyFont="1" applyBorder="1" applyAlignment="1">
      <alignment horizontal="center" vertical="top"/>
    </xf>
    <xf numFmtId="0" fontId="0" fillId="0" borderId="28" xfId="0" applyBorder="1"/>
    <xf numFmtId="164" fontId="10" fillId="0" borderId="19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/>
    <xf numFmtId="0" fontId="0" fillId="0" borderId="32" xfId="0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wrapText="1"/>
    </xf>
    <xf numFmtId="0" fontId="10" fillId="0" borderId="42" xfId="0" applyFont="1" applyBorder="1" applyAlignment="1">
      <alignment horizontal="center" vertical="center" wrapText="1"/>
    </xf>
    <xf numFmtId="0" fontId="14" fillId="0" borderId="48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51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</cellXfs>
  <cellStyles count="111">
    <cellStyle name="s1082" xfId="44" xr:uid="{36F5CECC-CBD0-480F-9665-0098C3B522B8}"/>
    <cellStyle name="s1213" xfId="85" xr:uid="{F42A718A-E720-467F-BC75-88E968B09C9F}"/>
    <cellStyle name="s1359" xfId="100" xr:uid="{224B5186-CEFF-4AE5-8A2A-A802944182AC}"/>
    <cellStyle name="s141" xfId="84" xr:uid="{5F3952DF-76E6-4B88-A55A-E546269B7AD4}"/>
    <cellStyle name="s1527" xfId="76" xr:uid="{1B4CE496-8B06-44F5-83C2-60CA96952AFB}"/>
    <cellStyle name="s1552" xfId="77" xr:uid="{BE2F8FB4-02A5-4FB8-B1CC-6DF882BEDA33}"/>
    <cellStyle name="s1582" xfId="79" xr:uid="{1E4116DD-BDD6-4007-BD24-31A00DEFDD20}"/>
    <cellStyle name="s1586" xfId="43" xr:uid="{9E1E9F44-9843-4C99-921E-746429C182C6}"/>
    <cellStyle name="s173" xfId="32" xr:uid="{D3A7CB85-3948-4506-B0C1-76DBAECC6882}"/>
    <cellStyle name="s1778" xfId="65" xr:uid="{F3BAC69E-FB4C-4149-A564-F91D05A82BE8}"/>
    <cellStyle name="s1800" xfId="64" xr:uid="{7286775B-8793-4458-A8F6-FA1F23514908}"/>
    <cellStyle name="s181" xfId="74" xr:uid="{7266F444-4B92-4ED3-B137-770CC3D4FB7B}"/>
    <cellStyle name="s185" xfId="75" xr:uid="{96D2BF1F-58C3-4E11-8F09-9B740EF4A1F1}"/>
    <cellStyle name="s1932" xfId="53" xr:uid="{19E8CDDD-C11B-4DF9-811A-310AB3EFB940}"/>
    <cellStyle name="s1946" xfId="88" xr:uid="{4B67ED52-F7F1-4454-82F1-182AFD41402E}"/>
    <cellStyle name="s1974" xfId="71" xr:uid="{BF9CBD91-91DB-415B-A578-356713B8A379}"/>
    <cellStyle name="s1984" xfId="93" xr:uid="{92B635B9-4600-4066-A1C1-FB79F35507F3}"/>
    <cellStyle name="s1991" xfId="96" xr:uid="{F58B0A6C-771F-4495-840E-F3F353BD3F4A}"/>
    <cellStyle name="s2098" xfId="50" xr:uid="{8F71CE2A-DC4F-4778-863D-E589005F0D5E}"/>
    <cellStyle name="s210" xfId="90" xr:uid="{D5A9DDEA-79A6-4B1B-80D8-7DA634510E46}"/>
    <cellStyle name="s231" xfId="27" xr:uid="{B47F9B99-417E-46CC-A166-D8809B2D74AD}"/>
    <cellStyle name="s2585" xfId="54" xr:uid="{2B2EE5BD-69D0-475A-B72F-6F9B5D046FAE}"/>
    <cellStyle name="s2693" xfId="14" xr:uid="{91373861-3D75-48DC-AFB3-D0C4E612E31D}"/>
    <cellStyle name="s2694" xfId="15" xr:uid="{7C795383-3E30-4460-A534-E8EC51EA33C9}"/>
    <cellStyle name="s2695" xfId="16" xr:uid="{57C6A5D9-99D6-4FCC-84BC-977CFD88A7EC}"/>
    <cellStyle name="s2696" xfId="22" xr:uid="{20147C48-64CE-4797-BED3-6A2663AD5F7A}"/>
    <cellStyle name="s2697" xfId="24" xr:uid="{D75D84B6-7761-4B48-B6A0-8DA579F03874}"/>
    <cellStyle name="s2698" xfId="25" xr:uid="{5D7D2D39-218E-45F2-A77F-5A97885399F4}"/>
    <cellStyle name="s2699" xfId="26" xr:uid="{7DDAAEFC-078C-4C2C-9EB1-DDB57A0A6B03}"/>
    <cellStyle name="s27" xfId="41" xr:uid="{99FD3BA9-77D7-4CBA-92DE-662FA479BD0C}"/>
    <cellStyle name="s2700" xfId="34" xr:uid="{65E2022D-1577-4DB6-925B-53F338B96D06}"/>
    <cellStyle name="s2701" xfId="51" xr:uid="{6214F97F-57AC-4078-870B-FC81DB62129C}"/>
    <cellStyle name="s2702" xfId="52" xr:uid="{E4DEDBF9-F9F0-49C3-9CFA-7A510993413C}"/>
    <cellStyle name="s2703" xfId="55" xr:uid="{36D9A5DC-7558-4A09-81D2-EE308543B3A6}"/>
    <cellStyle name="s2704" xfId="56" xr:uid="{B94391F6-1C94-4710-930E-4892602B6043}"/>
    <cellStyle name="s2705" xfId="57" xr:uid="{C9091A61-3AD5-49A1-9392-2975C541AEF8}"/>
    <cellStyle name="s2706" xfId="63" xr:uid="{E69B8A9B-2A32-4530-9BA4-D6E2507434DD}"/>
    <cellStyle name="s2707" xfId="66" xr:uid="{B19AF73A-F3B2-410A-80E6-B9C89D9C1819}"/>
    <cellStyle name="s2708" xfId="67" xr:uid="{0391C883-6C44-4016-9CBF-BBDB2947FDF9}"/>
    <cellStyle name="s2709" xfId="73" xr:uid="{EF904474-297E-4116-BE8A-A0B4D4EAD84E}"/>
    <cellStyle name="s2710" xfId="78" xr:uid="{13196D8E-8404-4FEE-92D1-78EBFFC37EC0}"/>
    <cellStyle name="s2711" xfId="80" xr:uid="{174D1CB9-0884-44FF-8C35-781525F72749}"/>
    <cellStyle name="s2712" xfId="81" xr:uid="{3343CE77-68D0-43D2-9800-532E7C0B4664}"/>
    <cellStyle name="s2713" xfId="82" xr:uid="{C085BD12-207A-4B9E-9A27-6921F1254268}"/>
    <cellStyle name="s2714" xfId="83" xr:uid="{2101A68C-325D-4CED-861A-C384333CFE57}"/>
    <cellStyle name="s2715" xfId="86" xr:uid="{A45AE2EF-965B-4433-93E1-0D0FFBAE7800}"/>
    <cellStyle name="s2716" xfId="87" xr:uid="{BAB9D786-366D-49CA-9158-851924AC4E90}"/>
    <cellStyle name="s2717" xfId="89" xr:uid="{2047A848-EB65-4F33-8E2A-AAB29C731566}"/>
    <cellStyle name="s2718" xfId="91" xr:uid="{41EF622C-8480-4FEF-A43D-00B873F748FC}"/>
    <cellStyle name="s2719" xfId="97" xr:uid="{07A67930-C627-4FA8-9A08-46B9310A88FE}"/>
    <cellStyle name="s2720" xfId="98" xr:uid="{81457037-ED04-40B1-858D-E68114627857}"/>
    <cellStyle name="s2721" xfId="99" xr:uid="{4A3EC60C-F9EF-43B0-AD25-93DB8009CA4B}"/>
    <cellStyle name="s2722" xfId="101" xr:uid="{EF376187-63EF-402F-949F-A1EA93FBD939}"/>
    <cellStyle name="s2723" xfId="102" xr:uid="{E2B06409-321E-43FA-B460-8A802DA8A8C2}"/>
    <cellStyle name="s321" xfId="45" xr:uid="{D334556F-3BE5-4510-BA70-4E74E9C2C2C9}"/>
    <cellStyle name="s37" xfId="40" xr:uid="{F455B736-D08E-48B1-993B-DF52E84877D6}"/>
    <cellStyle name="s38" xfId="72" xr:uid="{59B23ACE-82BB-43B2-8CC5-C7648E327141}"/>
    <cellStyle name="s43" xfId="11" xr:uid="{C5BA0E08-D28A-4E82-8C85-FEE89B8065BD}"/>
    <cellStyle name="s436" xfId="18" xr:uid="{CCA2AFB1-73A8-424E-AFB2-6A9BF84CC31D}"/>
    <cellStyle name="s437" xfId="19" xr:uid="{5C554BEC-025E-44C4-B016-2434495FE737}"/>
    <cellStyle name="s503" xfId="31" xr:uid="{5B202B42-84BE-498E-8184-C3B4F92BCC12}"/>
    <cellStyle name="s516" xfId="20" xr:uid="{00809D2E-B107-4F70-9200-267B4AEBF30A}"/>
    <cellStyle name="s57" xfId="21" xr:uid="{4AF60894-1899-4BC6-86B1-3F2750088028}"/>
    <cellStyle name="s58" xfId="13" xr:uid="{84E456CD-3E27-47DA-BAF6-8E44707ACA14}"/>
    <cellStyle name="s609" xfId="58" xr:uid="{204E031A-295A-427C-9FAE-CFE6E340D493}"/>
    <cellStyle name="s69" xfId="59" xr:uid="{F5694B97-B4D5-46F9-8117-5A595DD2325D}"/>
    <cellStyle name="s704" xfId="92" xr:uid="{B59507DB-C3C9-4CFD-AEA8-DADBCC04D538}"/>
    <cellStyle name="s724" xfId="69" xr:uid="{253BE5F6-0990-494B-8288-C1CA34123DF5}"/>
    <cellStyle name="s733" xfId="33" xr:uid="{47F21EBE-64AE-4BC0-9893-E75C2EA2695E}"/>
    <cellStyle name="s736" xfId="35" xr:uid="{183EE958-1C07-46E9-B4AF-09E6B6413843}"/>
    <cellStyle name="s737" xfId="28" xr:uid="{73B66F7F-61BD-4E36-8DA7-6B2AAED29C5B}"/>
    <cellStyle name="s741" xfId="95" xr:uid="{703BEFB2-1020-4324-80ED-6A6C106B8ED1}"/>
    <cellStyle name="s747" xfId="37" xr:uid="{88603AF8-9B35-4C5C-9AF1-4E1FC21C5F6D}"/>
    <cellStyle name="s749" xfId="23" xr:uid="{42C2B53E-85DF-425F-B03E-0448609909FA}"/>
    <cellStyle name="s760" xfId="38" xr:uid="{C5052BFC-C2BF-4294-A196-A8E499DBA916}"/>
    <cellStyle name="s761" xfId="42" xr:uid="{77297198-C4B7-49D8-83AA-4F63E1F16D7F}"/>
    <cellStyle name="s77" xfId="61" xr:uid="{195C68E0-3EBF-4BFE-91DD-1502BDA390EB}"/>
    <cellStyle name="s793" xfId="30" xr:uid="{EBC82EB8-2F44-476B-A4FE-CBBA546B1987}"/>
    <cellStyle name="s796" xfId="36" xr:uid="{1404E184-8E05-4B49-9385-5E2FFE3FAD71}"/>
    <cellStyle name="s799" xfId="62" xr:uid="{1027CCCF-031D-4F1A-8484-2BD9A14EA6CC}"/>
    <cellStyle name="s805" xfId="12" xr:uid="{4162A6B9-E82A-4099-8113-4CD4945BF135}"/>
    <cellStyle name="s806" xfId="29" xr:uid="{AE5370EF-EEE4-42ED-9CFA-E7341AB11F9A}"/>
    <cellStyle name="s853" xfId="49" xr:uid="{A9ABE383-E3B1-48A0-909D-B38DAFB8EF40}"/>
    <cellStyle name="s864" xfId="68" xr:uid="{C3629B59-EDE8-4FCA-BDEC-85E898F7D680}"/>
    <cellStyle name="s880" xfId="70" xr:uid="{788222F4-B9FF-4799-8E5C-73C55A3EBC37}"/>
    <cellStyle name="s89" xfId="94" xr:uid="{25FC8798-5239-47DE-90AD-2F7FBF3B4251}"/>
    <cellStyle name="s90" xfId="60" xr:uid="{6FC811E3-13B1-42A9-99D3-0E427D0F3CA9}"/>
    <cellStyle name="s970" xfId="17" xr:uid="{D97D3A05-06F6-4426-89FD-3B2BBB680E4E}"/>
    <cellStyle name="s988" xfId="46" xr:uid="{607F683F-E8FD-4AF0-AE36-F6CDD1132F6A}"/>
    <cellStyle name="s989" xfId="47" xr:uid="{26897962-0A1B-4D47-854E-D734F7FC9213}"/>
    <cellStyle name="s992" xfId="48" xr:uid="{15AD0448-7C3E-4029-9D49-E09BB1A43EF5}"/>
    <cellStyle name="s995" xfId="39" xr:uid="{4075D20D-C2AD-4007-803B-047886EF0C91}"/>
    <cellStyle name="Обычный" xfId="0" builtinId="0"/>
    <cellStyle name="Обычный 11 4 3 3 2 3 3" xfId="105" xr:uid="{1C3F7A45-162E-403F-AED8-06CCB12BBEEB}"/>
    <cellStyle name="Обычный 11 4 3 3 2 3 3 2" xfId="110" xr:uid="{C931CAF7-D704-499A-9EE4-C97791B807E4}"/>
    <cellStyle name="Обычный 12" xfId="9" xr:uid="{3E93588F-61C5-4CD3-B27B-694365B12802}"/>
    <cellStyle name="Обычный 12 3 2 2 3" xfId="106" xr:uid="{FF22FB7D-6EA8-418D-9C98-DE44B96F7713}"/>
    <cellStyle name="Обычный 2" xfId="104" xr:uid="{232560D4-9908-4651-BDA4-D6F1BC9FB7FA}"/>
    <cellStyle name="Обычный 2 15" xfId="108" xr:uid="{26F0A97D-2CB4-4BB4-8585-F7BC689E1B5D}"/>
    <cellStyle name="Обычный 2 2" xfId="107" xr:uid="{425A20A9-5187-4E30-9744-3A72FF10F725}"/>
    <cellStyle name="Обычный 3" xfId="10" xr:uid="{45C8E85A-EE97-4504-B24D-149C2AA902E7}"/>
    <cellStyle name="Обычный 4 2" xfId="109" xr:uid="{DDE0BFD3-0119-4DD2-9738-3743297F4748}"/>
    <cellStyle name="Обычный_123 ver3" xfId="5" xr:uid="{0D281BBC-3FC1-42D2-81F7-89BD238AE75C}"/>
    <cellStyle name="Обычный_EE.20.MET.NET.2.16(v1.1)" xfId="2" xr:uid="{005C2A86-499A-45E9-B3EC-141EFC170441}"/>
    <cellStyle name="Обычный_Изменения прил.4 2" xfId="8" xr:uid="{8BC8D560-F385-407F-B5B3-6DD2A7E75462}"/>
    <cellStyle name="Обычный_Приложение 3 (вода) мет" xfId="4" xr:uid="{BF57501F-2A8C-4525-8817-8AB4A73E2787}"/>
    <cellStyle name="Обычный_Производственная_программа_ВС_" xfId="6" xr:uid="{0B4935CB-61FC-48A6-8455-06173509B695}"/>
    <cellStyle name="Обычный_тарифы на 2002г с 1-01" xfId="3" xr:uid="{96AE0B54-5B68-46A3-A6B4-7BA8CDFCC028}"/>
    <cellStyle name="Обычный_Тепло" xfId="7" xr:uid="{BBCC415E-0C49-4228-BA7A-1F6DEFE89161}"/>
    <cellStyle name="Процентный" xfId="1" builtinId="5"/>
    <cellStyle name="Процентный 5" xfId="103" xr:uid="{55639EB7-C6E5-42ED-AE81-15ADF731E514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68927</xdr:colOff>
      <xdr:row>11</xdr:row>
      <xdr:rowOff>126075</xdr:rowOff>
    </xdr:to>
    <xdr:pic macro="[12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A9A4FAE5-F577-4721-B071-D4730054A4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2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70;&#1076;&#1080;&#1085;&#1094;&#1077;&#1074;&#1072;%20&#1053;.&#1043;\&#1086;&#1090;%20&#1050;&#1088;&#1080;&#1074;&#1086;&#1096;&#1077;&#1080;&#1085;&#1086;&#1081;%20&#1070;.&#1040;\2023\&#1042;&#1057;%20CALC.TARIFF.WATER.EIAS%20(2)%20(1)%20(1)%20(1)%20(1)%20(1)%20(1)_ex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829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829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69;&#1047;%20&#1052;&#1050;&#1055;%20_&#1050;&#1086;&#1084;&#1084;&#1091;&#1085;&#1072;&#1083;&#1100;&#1085;&#1099;&#1077;%20&#1089;&#1080;&#1089;&#1090;&#1077;&#1084;&#1099;_&#1057;&#1056;&#1045;&#1044;&#1053;&#1045;&#1058;.xlsb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42;&#1103;&#1090;&#1089;&#1082;&#1086;&#1087;&#1086;&#1083;&#1103;&#1085;&#1089;&#1082;&#1080;&#1081;\&#1050;&#1086;&#1084;&#1084;&#1091;&#1085;%20&#1089;&#1080;&#1089;&#1090;\&#1055;&#1088;&#1072;&#1074;&#1083;&#1077;&#1085;&#1080;&#1077;%2030.10.24%20&#1089;&#1088;&#1077;&#1076;%20&#1090;&#1086;&#1081;&#1084;&#1072;%2025-29\&#1042;&#1054;&#1044;&#1040;%202025-2029%20&#1050;&#1086;&#1084;&#1084;%20&#1089;&#1080;&#1089;&#1090;%20&#1057;&#1056;&#1045;&#1044;&#1053;&#1071;&#1071;%20&#1058;&#1054;&#1049;&#1052;&#104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70;&#1076;&#1080;&#1085;&#1094;&#1077;&#1074;&#1072;%20&#1053;.&#1043;\&#1086;&#1090;%20&#1050;&#1088;&#1080;&#1074;&#1086;&#1096;&#1077;&#1080;&#1085;&#1086;&#1081;%20&#1070;.&#1040;\2023\CALC.TARIFF.WATER.EIAS%20&#1059;&#1085;&#1080;&#1074;&#1077;&#1088;&#1089;&#1072;&#1083;_expor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EXPERT.VSVO.INDEX.CORR(v3.1)%20&#1044;&#1080;&#1072;&#1083;&#1086;&#1075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8.%20&#1058;&#1072;&#1088;&#1080;&#1092;&#1085;&#1072;&#1103;%20&#1082;&#1086;&#1084;&#1087;&#1072;&#1085;&#1080;&#1103;%202023\&#1041;&#1077;&#1083;&#1086;&#1093;&#1086;&#1083;&#1091;&#1085;&#1080;&#1094;&#1082;&#1080;&#1081;\&#1054;&#1054;&#1054;%20&#1057;&#1086;&#1102;&#1079;%20&#1043;&#1091;&#1088;&#1077;&#1085;&#1082;&#1080;,&#1055;&#1088;&#1086;&#1082;&#1086;&#1087;&#1100;&#1077;,&#1057;&#1090;&#1072;&#1088;&#1080;&#1082;&#1086;&#1074;&#1094;&#1099;,&#1056;&#1072;&#1082;&#1072;&#1083;&#1086;&#1074;&#1086;,&#1048;&#1074;&#1072;&#1085;&#1094;&#1077;&#1074;&#1086;\EXPERT.VSVO.INDEX.CORR(v3.1)%202019-2023%20(&#1043;&#1091;&#1088;,&#1057;&#1090;&#1072;&#1088;,&#1055;&#1088;&#1086;&#1082;,&#1056;&#1072;&#1082;&#1072;&#1083;,&#1055;&#1086;&#1083;&#1086;&#1084;)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4;&#1041;&#1065;&#1040;&#1071;\&#1058;&#1040;&#1056;&#1048;&#1060;&#1053;&#1040;&#1071;%20&#1050;&#1040;&#1052;&#1055;&#1040;&#1053;&#1048;&#1071;\&#1058;&#1072;&#1088;&#1080;&#1092;&#1085;&#1072;&#1103;%20&#1082;&#1086;&#1084;&#1087;&#1072;&#1085;&#1080;&#1103;%202023\&#1058;&#1069;&#1047;\&#1054;&#1058;&#1055;&#1056;&#1040;&#1042;&#1050;&#1040;%20&#1042;%20&#1056;&#1057;&#1054;%20&#1079;&#1072;&#1087;&#1088;&#1086;&#1089;&#1072;\EXPERT.VSVO.INDEX.CORR(v3.1)%20&#1082;&#1086;&#1088;&#1088;&#1077;&#1082;&#1090;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8.%20&#1058;&#1072;&#1088;&#1080;&#1092;&#1085;&#1072;&#1103;%20&#1082;&#1086;&#1084;&#1087;&#1072;&#1085;&#1080;&#1103;%202023\&#1041;&#1077;&#1083;&#1086;&#1093;&#1086;&#1083;&#1091;&#1085;&#1080;&#1094;&#1082;&#1080;&#1081;\_&#1057;&#1055;&#1050;%20&#1041;&#1099;&#1076;&#1072;&#1085;&#1086;&#1074;&#1086;%20&#1042;&#1057;%2016.11.22\PRIL3.VS.2.43%20&#1050;&#1086;&#1088;&#1088;&#1077;&#1082;&#1090;&#1080;&#1088;&#1086;&#1074;&#1082;&#1072;%20&#1085;&#1072;%202022%20&#1075;&#1086;&#1076;%20&#1089;%202019%20-%20&#1077;&#1089;&#1090;&#1100;%20&#1092;&#1072;&#1082;&#1090;%202021%20&#1075;.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10.%20&#1058;&#1072;&#1088;&#1080;&#1092;&#1085;&#1072;&#1103;%20&#1082;&#1086;&#1084;&#1087;&#1072;&#1085;&#1080;&#1103;%202024\&#1041;&#1077;&#1083;&#1086;&#1093;&#1086;&#1083;&#1091;&#1085;&#1080;&#1094;&#1082;&#1080;&#1081;\&#1057;&#1055;&#1050;%20&#1041;&#1099;&#1076;&#1072;&#1085;&#1086;&#1074;&#1086;%20&#1042;&#1057;%202024-2028\&#1056;&#1072;&#1089;&#1095;&#1077;&#1090;%20&#1042;&#1057;%20&#1057;&#1055;&#1050;%20&#1041;&#1099;&#1076;&#1072;&#1085;&#1086;&#1074;&#1086;%202024-202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2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8.%20&#1058;&#1072;&#1088;&#1080;&#1092;&#1085;&#1072;&#1103;%20&#1082;&#1086;&#1084;&#1087;&#1072;&#1085;&#1080;&#1103;%202023\&#1041;&#1077;&#1083;&#1086;&#1093;&#1086;&#1083;&#1091;&#1085;&#1080;&#1094;&#1082;&#1080;&#1081;\&#1052;&#1059;&#1055;%20&#1050;&#1086;&#1084;&#1084;&#1091;&#1085;&#1072;&#1083;&#1100;&#1085;&#1086;&#1077;%20&#1093;&#1086;&#1079;&#1103;&#1081;&#1089;&#1090;&#1074;&#1086;%20&#1042;&#1057;%20&#1042;&#1054;\EXPERT.VSVO.INDEX.CORR(v3.1)%20&#1052;&#1059;&#1055;%20&#1050;&#1086;&#1084;&#1084;&#1091;&#1085;&#1072;&#1083;&#1100;&#1085;&#1086;&#1077;%20&#1093;&#1086;&#1079;&#1103;&#1081;&#1089;&#1090;&#1074;&#1086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ст предзагрузки"/>
      <sheetName val="Настройка списков"/>
      <sheetName val="Общие настройки"/>
      <sheetName val="Itog_Etalon"/>
      <sheetName val="Itog_Formula"/>
      <sheetName val="fmls_translate_result"/>
      <sheetName val="Список листов"/>
      <sheetName val="Инструкция"/>
      <sheetName val="Титульный"/>
      <sheetName val="Тарифы"/>
      <sheetName val="testPreloadResult"/>
      <sheetName val="Лист1"/>
      <sheetName val="TECHSHEET"/>
      <sheetName val="Лист5"/>
      <sheetName val="Заявление"/>
      <sheetName val="Документы"/>
      <sheetName val="Справочники"/>
      <sheetName val="Индексы"/>
      <sheetName val="Список объектов"/>
      <sheetName val="ПО_нас"/>
      <sheetName val="Реестр потребителей"/>
      <sheetName val="Потери"/>
      <sheetName val="Отпуск воды"/>
      <sheetName val="ФормулыTemp"/>
      <sheetName val="Формулы2"/>
      <sheetName val="Формулы"/>
      <sheetName val="Объемы ВО"/>
      <sheetName val="Баланс ПП"/>
      <sheetName val="Баланс ПП МО"/>
      <sheetName val="Оборудование"/>
      <sheetName val="Сети"/>
      <sheetName val="Объемы по методике"/>
      <sheetName val="Условные метры"/>
      <sheetName val="Показатели"/>
      <sheetName val="ИТОГ"/>
      <sheetName val="Тарифы по периодам"/>
      <sheetName val="Лист2"/>
      <sheetName val="СиМ (детально)"/>
      <sheetName val="Сырье и материалы"/>
      <sheetName val="ЭЭ"/>
      <sheetName val="Оборудование - ЭЭ"/>
      <sheetName val="ТЭ"/>
      <sheetName val="ТН"/>
      <sheetName val="Топливо"/>
      <sheetName val="Оплата услуг ВО"/>
      <sheetName val="Покупка воды"/>
      <sheetName val="Транспортировка"/>
      <sheetName val="Земел. уч."/>
      <sheetName val="Аренда"/>
      <sheetName val="Амортизация"/>
      <sheetName val="Общие показатели"/>
      <sheetName val="Тарифная сетка"/>
      <sheetName val="Коэффициент невыходов"/>
      <sheetName val="Персонал"/>
      <sheetName val="Сбыт"/>
      <sheetName val="Счет 23"/>
      <sheetName val="Счет 25"/>
      <sheetName val="Адм.расходы"/>
      <sheetName val="ФОТ (по ВД)"/>
      <sheetName val="ФОТ"/>
      <sheetName val="Бесхоз"/>
      <sheetName val="Лист4"/>
      <sheetName val="tech"/>
      <sheetName val="Капремонт"/>
      <sheetName val="Текремонт"/>
      <sheetName val="preloadProcs"/>
      <sheetName val="Налоги"/>
      <sheetName val="Прочие прямые"/>
      <sheetName val="Экон. проч"/>
      <sheetName val="Экон. ОР"/>
      <sheetName val="Экон. ЭЭ"/>
      <sheetName val="Общая экономия"/>
      <sheetName val="Плата за негативное возд"/>
      <sheetName val="Корр по факту"/>
      <sheetName val="Корр по периодам"/>
      <sheetName val="ДПР"/>
      <sheetName val="Анализ ФХД"/>
      <sheetName val="План ПП"/>
      <sheetName val="Факт ПП"/>
      <sheetName val="Концессия"/>
      <sheetName val="Амортизация (аналог)"/>
      <sheetName val="Расчет тарифа (аналог)"/>
      <sheetName val="Смета"/>
      <sheetName val="Расчет МЭОР"/>
      <sheetName val="ОР (базовый)"/>
      <sheetName val="ИИКА"/>
      <sheetName val="НР"/>
      <sheetName val="Расчет тарифа(корректировка) МИ"/>
      <sheetName val="ПП исх"/>
      <sheetName val="ПП вход"/>
      <sheetName val="БПр_ВС_ФАС"/>
      <sheetName val="БТр_ВС_ФАС"/>
      <sheetName val="БПр_ВО_ФАС"/>
      <sheetName val="БТр_ВО_ФАС"/>
      <sheetName val="Р_ФАС"/>
      <sheetName val="К_ФАС"/>
      <sheetName val="ТМ1"/>
      <sheetName val="ТМ2"/>
      <sheetName val="ТН ФАС"/>
      <sheetName val="ATTACH_DOC"/>
      <sheetName val="Столбцы"/>
      <sheetName val="Столбцы отображение"/>
      <sheetName val="TECH_VERTICAL"/>
      <sheetName val="REESTR_ORG"/>
      <sheetName val="Check"/>
      <sheetName val="Справочник ВД"/>
      <sheetName val="Списки"/>
      <sheetName val="Новые списки"/>
      <sheetName val="REESTR_AREA"/>
      <sheetName val="LIST_DPR"/>
      <sheetName val="REESTR_OBJ_VS"/>
      <sheetName val="REESTR_OBJ_VO"/>
      <sheetName val="REESTR_TARIFF"/>
      <sheetName val="REESTR_MO"/>
      <sheetName val="SheetInfo"/>
      <sheetName val="Информация"/>
      <sheetName val="Лист3"/>
      <sheetName val="autocheck"/>
    </sheetNames>
    <sheetDataSet>
      <sheetData sheetId="0"/>
      <sheetData sheetId="1"/>
      <sheetData sheetId="2">
        <row r="107">
          <cell r="G107" t="str">
            <v>один год</v>
          </cell>
        </row>
      </sheetData>
      <sheetData sheetId="3"/>
      <sheetData sheetId="4"/>
      <sheetData sheetId="5"/>
      <sheetData sheetId="6"/>
      <sheetData sheetId="7"/>
      <sheetData sheetId="8">
        <row r="11">
          <cell r="AD11" t="str">
            <v>Кировская область</v>
          </cell>
        </row>
        <row r="13">
          <cell r="AD13" t="str">
            <v>Версия организации</v>
          </cell>
        </row>
        <row r="19">
          <cell r="AD19" t="str">
            <v>МКП «Универсал» Кильмезского района Кировской области</v>
          </cell>
        </row>
        <row r="61">
          <cell r="AD61" t="str">
            <v>нет</v>
          </cell>
        </row>
        <row r="62">
          <cell r="AD62" t="str">
            <v>Метод индексации</v>
          </cell>
        </row>
        <row r="63">
          <cell r="AD63">
            <v>2022</v>
          </cell>
        </row>
        <row r="71">
          <cell r="AD71" t="str">
            <v>Корректировка</v>
          </cell>
        </row>
      </sheetData>
      <sheetData sheetId="9">
        <row r="86">
          <cell r="AB86"/>
        </row>
        <row r="87">
          <cell r="AB87" t="str">
            <v>Водоснабжение</v>
          </cell>
        </row>
      </sheetData>
      <sheetData sheetId="10"/>
      <sheetData sheetId="11"/>
      <sheetData sheetId="12">
        <row r="2">
          <cell r="DG2" t="str">
            <v>Версия организации</v>
          </cell>
        </row>
        <row r="3">
          <cell r="DG3" t="str">
            <v>Версия регулятора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N5" t="str">
            <v>2020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AG5" t="str">
            <v>2021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.1."/>
      <sheetName val="3.6.3."/>
    </sheetNames>
    <sheetDataSet>
      <sheetData sheetId="0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.1."/>
      <sheetName val="3.6.3.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eload"/>
      <sheetName val="modProvGeneralProc"/>
      <sheetName val="modList02"/>
      <sheetName val="modfrmReestrSource"/>
      <sheetName val="modHTTP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ФОТ"/>
      <sheetName val="Административные"/>
      <sheetName val="Сбытовые расходы ГО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Комментарии"/>
      <sheetName val="Проверка"/>
      <sheetName val="et_union"/>
      <sheetName val="TEHSHEET"/>
      <sheetName val="REESTR_TARIFF"/>
      <sheetName val="REESTR_OBJECT"/>
      <sheetName val="modList11"/>
      <sheetName val="REESTR_MO"/>
      <sheetName val="REESTR_ORG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frmDPR"/>
      <sheetName val="modfrmSelectTemplate"/>
      <sheetName val="modList01"/>
      <sheetName val="modList05"/>
      <sheetName val="modList06"/>
      <sheetName val="modList09"/>
      <sheetName val="modList10"/>
      <sheetName val="modList16"/>
      <sheetName val="modList18"/>
      <sheetName val="modList19"/>
      <sheetName val="modList20"/>
      <sheetName val="modList21"/>
      <sheetName val="modList15"/>
      <sheetName val="modList17"/>
      <sheetName val="ТЭЗ МКП _Коммунальные системы_С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 (Оказание услуг на территории: Среднетойменское (ОКТМО: 33610420) - д Средняя Тойма)</v>
          </cell>
          <cell r="N122" t="str">
            <v>одноставочный</v>
          </cell>
        </row>
        <row r="123">
          <cell r="H123" t="str">
            <v>ХВС.43.26444339.0013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28">
          <cell r="H128" t="str">
            <v>Оказание услуг на территории: Среднетойменское (ОКТМО: 33610420) - д Средняя Тойма</v>
          </cell>
        </row>
        <row r="131">
          <cell r="H131" t="str">
            <v>https://data-platform.ru/lk/files/Files/HiDzdd/43e4e4f5-d5fd-41c1-9985-7e7ad498b742</v>
          </cell>
        </row>
        <row r="132">
          <cell r="H132" t="str">
            <v>индексации</v>
          </cell>
        </row>
        <row r="133">
          <cell r="H133">
            <v>2025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Водоотведение</v>
          </cell>
          <cell r="J135" t="str">
            <v>Тариф 2 (Водоотведение) - тариф на водоотведение (Оказание услуг на территории: Среднетойменское (ОКТМО: 33610420) - д Средняя Тойма)</v>
          </cell>
          <cell r="N135" t="str">
            <v>одноставочный</v>
          </cell>
        </row>
        <row r="136">
          <cell r="H136" t="str">
            <v>ВО.43.26444339.0007</v>
          </cell>
        </row>
        <row r="137">
          <cell r="H137" t="str">
            <v>тариф на водоотведение</v>
          </cell>
        </row>
        <row r="138">
          <cell r="H138" t="str">
            <v>одноставочный</v>
          </cell>
        </row>
        <row r="139">
          <cell r="H139" t="str">
            <v>Приём сточных вод :: Очистка сточных вод :: Транспортировка сточных вод</v>
          </cell>
        </row>
        <row r="140">
          <cell r="H140" t="str">
            <v>без дифференциации</v>
          </cell>
        </row>
        <row r="141">
          <cell r="H141" t="str">
            <v>Оказание услуг на территории: Среднетойменское (ОКТМО: 33610420) - д Средняя Тойма</v>
          </cell>
        </row>
        <row r="142">
          <cell r="H142"/>
        </row>
        <row r="143">
          <cell r="H143"/>
        </row>
        <row r="144">
          <cell r="H144" t="str">
            <v>https://data-platform.ru/lk/files/Files/HiDzdd/c2a8b0b7-de4b-4d18-9319-78837d672970</v>
          </cell>
        </row>
        <row r="145">
          <cell r="H145" t="str">
            <v>индексации</v>
          </cell>
        </row>
        <row r="146">
          <cell r="H146">
            <v>2025</v>
          </cell>
        </row>
        <row r="147">
          <cell r="H147">
            <v>5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1.0315799999999999</v>
          </cell>
          <cell r="U17">
            <v>1</v>
          </cell>
          <cell r="Y17">
            <v>1.0296000000000001</v>
          </cell>
          <cell r="Z17">
            <v>1</v>
          </cell>
          <cell r="AA17">
            <v>1.0296000000000001</v>
          </cell>
          <cell r="AB17">
            <v>1</v>
          </cell>
          <cell r="AC17">
            <v>1.0296000000000001</v>
          </cell>
          <cell r="AD17">
            <v>1</v>
          </cell>
          <cell r="AE17">
            <v>1.0296000000000001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T18">
            <v>1</v>
          </cell>
          <cell r="V18">
            <v>0</v>
          </cell>
          <cell r="W18">
            <v>-1</v>
          </cell>
          <cell r="Y18">
            <v>1</v>
          </cell>
          <cell r="AA18">
            <v>1</v>
          </cell>
          <cell r="AC18">
            <v>1</v>
          </cell>
          <cell r="AE18">
            <v>1</v>
          </cell>
        </row>
        <row r="19">
          <cell r="A19" t="str">
            <v>1</v>
          </cell>
          <cell r="B19" t="str">
            <v>ИПЦ</v>
          </cell>
          <cell r="T19">
            <v>4.2</v>
          </cell>
          <cell r="V19">
            <v>0</v>
          </cell>
          <cell r="W19">
            <v>-4.2</v>
          </cell>
          <cell r="Y19">
            <v>4</v>
          </cell>
          <cell r="AA19">
            <v>4</v>
          </cell>
          <cell r="AC19">
            <v>4</v>
          </cell>
          <cell r="AE19">
            <v>4</v>
          </cell>
        </row>
        <row r="20">
          <cell r="A20" t="str">
            <v>1</v>
          </cell>
          <cell r="T20">
            <v>7.5</v>
          </cell>
          <cell r="V20">
            <v>0</v>
          </cell>
          <cell r="W20">
            <v>-7.5</v>
          </cell>
          <cell r="Y20">
            <v>5.8</v>
          </cell>
          <cell r="AA20">
            <v>5.8</v>
          </cell>
          <cell r="AC20">
            <v>5.8</v>
          </cell>
          <cell r="AE20">
            <v>5.8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P23">
            <v>30.2</v>
          </cell>
          <cell r="T23">
            <v>30.2</v>
          </cell>
          <cell r="V23">
            <v>0</v>
          </cell>
          <cell r="W23">
            <v>-30.2</v>
          </cell>
          <cell r="Y23">
            <v>30.2</v>
          </cell>
          <cell r="AA23">
            <v>30.2</v>
          </cell>
          <cell r="AC23">
            <v>30.2</v>
          </cell>
          <cell r="AE23">
            <v>30.2</v>
          </cell>
        </row>
        <row r="24">
          <cell r="A24" t="str">
            <v>1</v>
          </cell>
          <cell r="V24">
            <v>0</v>
          </cell>
          <cell r="W24">
            <v>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P32">
            <v>4.7460000000000004</v>
          </cell>
          <cell r="T32">
            <v>4.7460000000000004</v>
          </cell>
          <cell r="V32">
            <v>0</v>
          </cell>
          <cell r="W32">
            <v>-4.7460000000000004</v>
          </cell>
        </row>
        <row r="33">
          <cell r="A33" t="str">
            <v>1</v>
          </cell>
          <cell r="P33">
            <v>4.7069999999999999</v>
          </cell>
          <cell r="T33">
            <v>4.7069999999999999</v>
          </cell>
          <cell r="V33">
            <v>0</v>
          </cell>
          <cell r="W33">
            <v>-4.7069999999999999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</v>
          </cell>
          <cell r="T35">
            <v>1.0315799999999999</v>
          </cell>
          <cell r="U35">
            <v>1</v>
          </cell>
          <cell r="Y35">
            <v>1.0296000000000001</v>
          </cell>
          <cell r="Z35">
            <v>1</v>
          </cell>
          <cell r="AA35">
            <v>1.0296000000000001</v>
          </cell>
          <cell r="AB35">
            <v>1</v>
          </cell>
          <cell r="AC35">
            <v>1.0296000000000001</v>
          </cell>
          <cell r="AD35">
            <v>1</v>
          </cell>
          <cell r="AE35">
            <v>1.0296000000000001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T36">
            <v>1</v>
          </cell>
          <cell r="V36">
            <v>0</v>
          </cell>
          <cell r="W36">
            <v>-1</v>
          </cell>
          <cell r="Y36">
            <v>1</v>
          </cell>
          <cell r="AA36">
            <v>1</v>
          </cell>
          <cell r="AC36">
            <v>1</v>
          </cell>
          <cell r="AE36">
            <v>1</v>
          </cell>
        </row>
        <row r="37">
          <cell r="A37" t="str">
            <v>2</v>
          </cell>
          <cell r="B37" t="str">
            <v>ИПЦ</v>
          </cell>
          <cell r="T37">
            <v>4.2</v>
          </cell>
          <cell r="V37">
            <v>0</v>
          </cell>
          <cell r="W37">
            <v>-4.2</v>
          </cell>
          <cell r="Y37">
            <v>4</v>
          </cell>
          <cell r="AA37">
            <v>4</v>
          </cell>
          <cell r="AC37">
            <v>4</v>
          </cell>
          <cell r="AE37">
            <v>4</v>
          </cell>
        </row>
        <row r="38">
          <cell r="A38" t="str">
            <v>2</v>
          </cell>
          <cell r="T38">
            <v>7.5</v>
          </cell>
          <cell r="V38">
            <v>0</v>
          </cell>
          <cell r="W38">
            <v>-7.5</v>
          </cell>
          <cell r="Y38">
            <v>5.8</v>
          </cell>
          <cell r="AA38">
            <v>5.8</v>
          </cell>
          <cell r="AC38">
            <v>5.8</v>
          </cell>
          <cell r="AE38">
            <v>5.8</v>
          </cell>
        </row>
        <row r="39">
          <cell r="A39" t="str">
            <v>2</v>
          </cell>
          <cell r="B39" t="str">
            <v>ИКА</v>
          </cell>
          <cell r="V39">
            <v>0</v>
          </cell>
          <cell r="W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P41">
            <v>30.2</v>
          </cell>
          <cell r="T41">
            <v>30.2</v>
          </cell>
          <cell r="V41">
            <v>0</v>
          </cell>
          <cell r="W41">
            <v>-30.2</v>
          </cell>
          <cell r="Y41">
            <v>30.2</v>
          </cell>
          <cell r="AA41">
            <v>30.2</v>
          </cell>
          <cell r="AC41">
            <v>30.2</v>
          </cell>
          <cell r="AE41">
            <v>30.2</v>
          </cell>
        </row>
        <row r="42">
          <cell r="A42" t="str">
            <v>2</v>
          </cell>
          <cell r="V42">
            <v>0</v>
          </cell>
          <cell r="W42">
            <v>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V48">
            <v>0</v>
          </cell>
          <cell r="W48">
            <v>0</v>
          </cell>
        </row>
        <row r="49">
          <cell r="A49" t="str">
            <v>2</v>
          </cell>
          <cell r="V49">
            <v>0</v>
          </cell>
          <cell r="W49">
            <v>0</v>
          </cell>
        </row>
        <row r="50">
          <cell r="A50" t="str">
            <v>2</v>
          </cell>
          <cell r="P50">
            <v>0.60599999999999998</v>
          </cell>
          <cell r="T50">
            <v>0.60599999999999998</v>
          </cell>
          <cell r="V50">
            <v>0</v>
          </cell>
          <cell r="W50">
            <v>-0.60599999999999998</v>
          </cell>
        </row>
        <row r="51">
          <cell r="A51" t="str">
            <v>2</v>
          </cell>
          <cell r="P51">
            <v>0.63700000000000001</v>
          </cell>
          <cell r="T51">
            <v>0.63700000000000001</v>
          </cell>
          <cell r="V51">
            <v>0</v>
          </cell>
          <cell r="W51">
            <v>-0.63700000000000001</v>
          </cell>
        </row>
        <row r="52">
          <cell r="A52" t="str">
            <v>t</v>
          </cell>
        </row>
      </sheetData>
      <sheetData sheetId="17">
        <row r="16"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1</v>
          </cell>
        </row>
        <row r="18">
          <cell r="A18" t="str">
            <v>1</v>
          </cell>
        </row>
        <row r="19">
          <cell r="A19" t="str">
            <v>1</v>
          </cell>
        </row>
        <row r="20">
          <cell r="A20" t="str">
            <v>1</v>
          </cell>
        </row>
        <row r="21">
          <cell r="A21" t="str">
            <v>1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</row>
        <row r="23">
          <cell r="A23" t="str">
            <v>1</v>
          </cell>
        </row>
        <row r="24">
          <cell r="A24" t="str">
            <v>1</v>
          </cell>
        </row>
        <row r="25">
          <cell r="A25" t="str">
            <v>1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1</v>
          </cell>
        </row>
        <row r="27">
          <cell r="A27" t="str">
            <v>1</v>
          </cell>
        </row>
        <row r="28">
          <cell r="A28" t="str">
            <v>1</v>
          </cell>
        </row>
        <row r="29">
          <cell r="A29" t="str">
            <v>1</v>
          </cell>
        </row>
        <row r="30">
          <cell r="A30" t="str">
            <v>1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1</v>
          </cell>
        </row>
        <row r="32">
          <cell r="A32" t="str">
            <v>1</v>
          </cell>
        </row>
        <row r="33">
          <cell r="A33" t="str">
            <v>1</v>
          </cell>
        </row>
        <row r="34">
          <cell r="A34" t="str">
            <v>1</v>
          </cell>
        </row>
        <row r="35">
          <cell r="A35" t="str">
            <v>1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B37" t="str">
            <v>ПО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</row>
        <row r="39">
          <cell r="A39" t="str">
            <v>1</v>
          </cell>
        </row>
        <row r="40">
          <cell r="A40" t="str">
            <v>1</v>
          </cell>
        </row>
        <row r="41">
          <cell r="A41" t="str">
            <v>1</v>
          </cell>
          <cell r="B41" t="str">
            <v>ПО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</row>
        <row r="43">
          <cell r="A43" t="str">
            <v>1</v>
          </cell>
        </row>
        <row r="44">
          <cell r="A44" t="str">
            <v>1</v>
          </cell>
          <cell r="B44" t="str">
            <v>ПО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</row>
        <row r="47">
          <cell r="A47" t="str">
            <v>1</v>
          </cell>
        </row>
        <row r="48">
          <cell r="A48" t="str">
            <v>1</v>
          </cell>
          <cell r="B48" t="str">
            <v>население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</row>
        <row r="50">
          <cell r="A50" t="str">
            <v>1</v>
          </cell>
        </row>
        <row r="51">
          <cell r="A51" t="str">
            <v>1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</row>
        <row r="53">
          <cell r="A53" t="str">
            <v>1</v>
          </cell>
        </row>
        <row r="54">
          <cell r="A54" t="str">
            <v>1</v>
          </cell>
        </row>
        <row r="57"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2</v>
          </cell>
        </row>
        <row r="64">
          <cell r="A64" t="str">
            <v>2</v>
          </cell>
        </row>
        <row r="65">
          <cell r="A65" t="str">
            <v>2</v>
          </cell>
        </row>
        <row r="66">
          <cell r="A66" t="str">
            <v>2</v>
          </cell>
        </row>
        <row r="67">
          <cell r="A67" t="str">
            <v>2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2</v>
          </cell>
          <cell r="B68" t="str">
            <v>ПО</v>
          </cell>
        </row>
        <row r="69">
          <cell r="A69" t="str">
            <v>2</v>
          </cell>
          <cell r="B69" t="str">
            <v>ПО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2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2</v>
          </cell>
        </row>
        <row r="72">
          <cell r="A72" t="str">
            <v>2</v>
          </cell>
        </row>
        <row r="73">
          <cell r="A73" t="str">
            <v>2</v>
          </cell>
          <cell r="B73" t="str">
            <v>население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2</v>
          </cell>
        </row>
        <row r="75">
          <cell r="A75" t="str">
            <v>2</v>
          </cell>
        </row>
        <row r="76">
          <cell r="A76" t="str">
            <v>2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2</v>
          </cell>
        </row>
        <row r="78">
          <cell r="A78" t="str">
            <v>2</v>
          </cell>
        </row>
        <row r="79">
          <cell r="A79" t="str">
            <v>2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2</v>
          </cell>
        </row>
        <row r="81">
          <cell r="A81" t="str">
            <v>2</v>
          </cell>
        </row>
        <row r="82">
          <cell r="A82" t="str">
            <v>2</v>
          </cell>
        </row>
        <row r="83">
          <cell r="A83" t="str">
            <v>2</v>
          </cell>
        </row>
        <row r="84">
          <cell r="A84" t="str">
            <v>2</v>
          </cell>
        </row>
        <row r="85">
          <cell r="A85" t="str">
            <v>2</v>
          </cell>
        </row>
        <row r="86">
          <cell r="A86" t="str">
            <v>2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</row>
        <row r="88">
          <cell r="A88" t="str">
            <v>2</v>
          </cell>
        </row>
        <row r="89">
          <cell r="A89" t="str">
            <v>2</v>
          </cell>
        </row>
        <row r="90">
          <cell r="A90" t="str">
            <v>2</v>
          </cell>
        </row>
        <row r="93">
          <cell r="AH93" t="str">
            <v>2030 год</v>
          </cell>
          <cell r="AI93" t="str">
            <v>2031 год</v>
          </cell>
          <cell r="AJ93" t="str">
            <v>2032 год</v>
          </cell>
          <cell r="AK93" t="str">
            <v>2033 год</v>
          </cell>
          <cell r="AL93" t="str">
            <v>2034 год</v>
          </cell>
        </row>
        <row r="94"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Хлорная известь</v>
          </cell>
        </row>
        <row r="20">
          <cell r="A20" t="str">
            <v>1</v>
          </cell>
          <cell r="M20" t="str">
            <v>Добавить</v>
          </cell>
        </row>
        <row r="21">
          <cell r="A21" t="str">
            <v>2</v>
          </cell>
        </row>
        <row r="22">
          <cell r="A22" t="str">
            <v>2</v>
          </cell>
          <cell r="M22" t="str">
            <v>Всего по тарифу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A23" t="str">
            <v>2</v>
          </cell>
        </row>
        <row r="24">
          <cell r="A24" t="str">
            <v>2</v>
          </cell>
          <cell r="M24" t="str">
            <v>Хлорная известь</v>
          </cell>
        </row>
        <row r="25">
          <cell r="A25" t="str">
            <v>2</v>
          </cell>
          <cell r="M25" t="str">
            <v>Добавить</v>
          </cell>
        </row>
      </sheetData>
      <sheetData sheetId="19">
        <row r="15"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</row>
        <row r="20">
          <cell r="A20" t="str">
            <v>1</v>
          </cell>
          <cell r="M20" t="str">
            <v>Средний (расчетный) тариф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Без разбивки</v>
          </cell>
        </row>
        <row r="24">
          <cell r="A24" t="str">
            <v>1</v>
          </cell>
          <cell r="M24" t="str">
            <v>Тариф на электроэнергию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</row>
        <row r="26">
          <cell r="A26" t="str">
            <v>1</v>
          </cell>
          <cell r="M26" t="str">
            <v>Добавить</v>
          </cell>
        </row>
        <row r="27">
          <cell r="A27" t="str">
            <v>1</v>
          </cell>
          <cell r="M27" t="str">
            <v>Двухставочный тариф</v>
          </cell>
        </row>
        <row r="28">
          <cell r="A28" t="str">
            <v>1</v>
          </cell>
          <cell r="M28" t="str">
            <v xml:space="preserve">Добавить 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Всего по тарифу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Объём покупаемой электроэнергии всего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A32" t="str">
            <v>2</v>
          </cell>
          <cell r="M32" t="str">
            <v>Объём воды/сточных вод</v>
          </cell>
        </row>
        <row r="33">
          <cell r="A33" t="str">
            <v>2</v>
          </cell>
          <cell r="M33" t="str">
            <v>Средний (расчетный) тариф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Удельный расход электроэнергии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Одноставочный тариф</v>
          </cell>
        </row>
        <row r="36">
          <cell r="A36" t="str">
            <v>2</v>
          </cell>
          <cell r="M36" t="str">
            <v>Без разбивки</v>
          </cell>
        </row>
        <row r="37">
          <cell r="A37" t="str">
            <v>2</v>
          </cell>
          <cell r="M37" t="str">
            <v>Тариф на электроэнергию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Объём покупной электроэнергии</v>
          </cell>
        </row>
        <row r="39">
          <cell r="A39" t="str">
            <v>2</v>
          </cell>
          <cell r="M39" t="str">
            <v>Добавить</v>
          </cell>
        </row>
        <row r="40">
          <cell r="A40" t="str">
            <v>2</v>
          </cell>
          <cell r="M40" t="str">
            <v>Двухставочный тариф</v>
          </cell>
        </row>
        <row r="41">
          <cell r="A41" t="str">
            <v>2</v>
          </cell>
          <cell r="M41" t="str">
            <v xml:space="preserve">Добавить </v>
          </cell>
        </row>
      </sheetData>
      <sheetData sheetId="20">
        <row r="15"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</row>
        <row r="23">
          <cell r="A23" t="str">
            <v>1</v>
          </cell>
          <cell r="M23" t="str">
            <v>Ввод основных фондов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</row>
        <row r="59">
          <cell r="A59" t="str">
            <v>1</v>
          </cell>
          <cell r="M59" t="str">
            <v>Переоценка на 31.12.XX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</row>
        <row r="68">
          <cell r="A68" t="str">
            <v>2</v>
          </cell>
          <cell r="M68" t="str">
            <v>Сооружения и передаточные устройства</v>
          </cell>
        </row>
        <row r="69">
          <cell r="A69" t="str">
            <v>2</v>
          </cell>
          <cell r="M69" t="str">
            <v>Машины и оборудование</v>
          </cell>
        </row>
        <row r="70">
          <cell r="A70" t="str">
            <v>2</v>
          </cell>
          <cell r="M70" t="str">
            <v>Транспорт</v>
          </cell>
        </row>
        <row r="71">
          <cell r="A71" t="str">
            <v>2</v>
          </cell>
          <cell r="M71" t="str">
            <v>Прочее</v>
          </cell>
        </row>
        <row r="72">
          <cell r="A72" t="str">
            <v>2</v>
          </cell>
          <cell r="M72" t="str">
            <v>Ввод основных фондов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</row>
        <row r="105">
          <cell r="A105" t="str">
            <v>2</v>
          </cell>
          <cell r="M105" t="str">
            <v>Машины и оборудование</v>
          </cell>
        </row>
        <row r="106">
          <cell r="A106" t="str">
            <v>2</v>
          </cell>
          <cell r="M106" t="str">
            <v>Транспорт</v>
          </cell>
        </row>
        <row r="107">
          <cell r="A107" t="str">
            <v>2</v>
          </cell>
          <cell r="M107" t="str">
            <v>Прочее</v>
          </cell>
        </row>
        <row r="108">
          <cell r="A108" t="str">
            <v>2</v>
          </cell>
          <cell r="M108" t="str">
            <v>Переоценка на 31.12.XX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</row>
        <row r="28">
          <cell r="A28" t="str">
            <v>2</v>
          </cell>
          <cell r="M28" t="str">
            <v>Аренда частной собственности</v>
          </cell>
        </row>
        <row r="29">
          <cell r="A29" t="str">
            <v>2</v>
          </cell>
          <cell r="M29" t="str">
            <v>Концессионная плата</v>
          </cell>
        </row>
        <row r="30">
          <cell r="A30" t="str">
            <v>2</v>
          </cell>
          <cell r="M30" t="str">
            <v>Лизинговые платежи</v>
          </cell>
        </row>
        <row r="31">
          <cell r="A31" t="str">
            <v>2</v>
          </cell>
          <cell r="M31" t="str">
            <v>Аренда земельных участков</v>
          </cell>
        </row>
      </sheetData>
      <sheetData sheetId="22">
        <row r="15"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</row>
        <row r="52">
          <cell r="A52" t="str">
            <v>2</v>
          </cell>
          <cell r="M52" t="str">
            <v>Затраты на теплоноситель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/>
      <sheetData sheetId="24"/>
      <sheetData sheetId="25"/>
      <sheetData sheetId="26">
        <row r="15"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</row>
        <row r="21">
          <cell r="A21" t="str">
            <v>1</v>
          </cell>
          <cell r="M21" t="str">
            <v>Водный налог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</row>
        <row r="24">
          <cell r="A24" t="str">
            <v>1</v>
          </cell>
          <cell r="M24" t="str">
            <v>Налог на прибыль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</row>
        <row r="26">
          <cell r="A26" t="str">
            <v>1</v>
          </cell>
          <cell r="M26" t="str">
            <v>Прочие налоги и сборы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</row>
        <row r="32">
          <cell r="A32" t="str">
            <v>2</v>
          </cell>
          <cell r="M32" t="str">
            <v>Земельный налог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</row>
        <row r="34">
          <cell r="A34" t="str">
            <v>2</v>
          </cell>
          <cell r="M34" t="str">
            <v>Водный налог</v>
          </cell>
        </row>
        <row r="35">
          <cell r="A35" t="str">
            <v>2</v>
          </cell>
          <cell r="M35" t="str">
            <v>Плата за пользование водным объектом</v>
          </cell>
        </row>
        <row r="36">
          <cell r="A36" t="str">
            <v>2</v>
          </cell>
          <cell r="M36" t="str">
            <v>Налог на имущество</v>
          </cell>
        </row>
        <row r="37">
          <cell r="A37" t="str">
            <v>2</v>
          </cell>
          <cell r="M37" t="str">
            <v>Налог на прибыль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</row>
        <row r="39">
          <cell r="A39" t="str">
            <v>2</v>
          </cell>
          <cell r="M39" t="str">
            <v>Прочие налоги и сборы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Прочие налоги и сборы</v>
          </cell>
        </row>
        <row r="42">
          <cell r="A42" t="str">
            <v>2</v>
          </cell>
          <cell r="M42" t="str">
            <v>Добавить</v>
          </cell>
        </row>
      </sheetData>
      <sheetData sheetId="27">
        <row r="16">
          <cell r="M16" t="str">
            <v>Источник финансирования, без НДС</v>
          </cell>
          <cell r="AJ16" t="str">
            <v>2030 год</v>
          </cell>
          <cell r="AK16" t="str">
            <v>2031 год</v>
          </cell>
          <cell r="AL16" t="str">
            <v>2032 год</v>
          </cell>
          <cell r="AM16" t="str">
            <v>2033 год</v>
          </cell>
          <cell r="AN16" t="str">
            <v>2034 год</v>
          </cell>
        </row>
        <row r="17"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8">
        <row r="15"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"/>
      <sheetName val="Расчет тарифа мет. инд. 5 лет"/>
      <sheetName val="ФАКТ 21-22"/>
      <sheetName val="ГСМ"/>
      <sheetName val="ЗП проч произ"/>
      <sheetName val="РЕМОНТЫ"/>
      <sheetName val="Админимстр"/>
      <sheetName val=" ПП к ЭЗ"/>
      <sheetName val="ПП к решению"/>
      <sheetName val="Кин в заключении"/>
      <sheetName val=" ПП кРЕШ"/>
      <sheetName val="Расчет КиН (ХВ питьев.)"/>
      <sheetName val="Тарифы и ДПР"/>
    </sheetNames>
    <sheetDataSet>
      <sheetData sheetId="0"/>
      <sheetData sheetId="1">
        <row r="41">
          <cell r="W41">
            <v>35509.785299999996</v>
          </cell>
        </row>
        <row r="66">
          <cell r="N66">
            <v>35988.461538461539</v>
          </cell>
          <cell r="W66">
            <v>47537.552975415303</v>
          </cell>
        </row>
      </sheetData>
      <sheetData sheetId="2"/>
      <sheetData sheetId="3"/>
      <sheetData sheetId="4"/>
      <sheetData sheetId="5"/>
      <sheetData sheetId="6">
        <row r="38">
          <cell r="T38">
            <v>2.14</v>
          </cell>
        </row>
        <row r="46">
          <cell r="T46">
            <v>0</v>
          </cell>
        </row>
        <row r="47">
          <cell r="T47">
            <v>1</v>
          </cell>
        </row>
        <row r="48">
          <cell r="T48">
            <v>0.31</v>
          </cell>
        </row>
        <row r="50">
          <cell r="T50">
            <v>8.1051746304000005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ст предзагрузки"/>
      <sheetName val="Настройка списков"/>
      <sheetName val="Общие настройки"/>
      <sheetName val="Itog_Etalon"/>
      <sheetName val="Itog_Formula"/>
      <sheetName val="fmls_translate_result"/>
      <sheetName val="Список листов"/>
      <sheetName val="Инструкция"/>
      <sheetName val="Титульный"/>
      <sheetName val="Тарифы"/>
      <sheetName val="testPreloadResult"/>
      <sheetName val="Лист1"/>
      <sheetName val="TECHSHEET"/>
      <sheetName val="Лист5"/>
      <sheetName val="Заявление"/>
      <sheetName val="Документы"/>
      <sheetName val="Справочники"/>
      <sheetName val="Индексы"/>
      <sheetName val="Список объектов"/>
      <sheetName val="ПО_нас"/>
      <sheetName val="Реестр потребителей"/>
      <sheetName val="Потери"/>
      <sheetName val="Отпуск воды"/>
      <sheetName val="ФормулыTemp"/>
      <sheetName val="Формулы2"/>
      <sheetName val="Формулы"/>
      <sheetName val="Объемы ВО"/>
      <sheetName val="Баланс ПП"/>
      <sheetName val="Баланс ПП МО"/>
      <sheetName val="Оборудование"/>
      <sheetName val="Сети"/>
      <sheetName val="Объемы по методике"/>
      <sheetName val="Условные метры"/>
      <sheetName val="Показатели"/>
      <sheetName val="ИТОГ"/>
      <sheetName val="Тарифы по периодам"/>
      <sheetName val="Лист2"/>
      <sheetName val="СиМ (детально)"/>
      <sheetName val="Сырье и материалы"/>
      <sheetName val="ЭЭ"/>
      <sheetName val="Оборудование - ЭЭ"/>
      <sheetName val="ТЭ"/>
      <sheetName val="ТН"/>
      <sheetName val="Топливо"/>
      <sheetName val="Оплата услуг ВО"/>
      <sheetName val="Покупка воды"/>
      <sheetName val="Транспортировка"/>
      <sheetName val="Земел. уч."/>
      <sheetName val="Аренда"/>
      <sheetName val="Амортизация"/>
      <sheetName val="Общие показатели"/>
      <sheetName val="Тарифная сетка"/>
      <sheetName val="Коэффициент невыходов"/>
      <sheetName val="Персонал"/>
      <sheetName val="Сбыт"/>
      <sheetName val="Счет 23"/>
      <sheetName val="Счет 25"/>
      <sheetName val="Адм.расходы"/>
      <sheetName val="ФОТ (по ВД)"/>
      <sheetName val="ФОТ"/>
      <sheetName val="Бесхоз"/>
      <sheetName val="Лист4"/>
      <sheetName val="tech"/>
      <sheetName val="Капремонт"/>
      <sheetName val="Текремонт"/>
      <sheetName val="preloadProcs"/>
      <sheetName val="Налоги"/>
      <sheetName val="Прочие прямые"/>
      <sheetName val="Экон. проч"/>
      <sheetName val="Экон. ОР"/>
      <sheetName val="Экон. ЭЭ"/>
      <sheetName val="Общая экономия"/>
      <sheetName val="Плата за негативное возд"/>
      <sheetName val="Корр по факту"/>
      <sheetName val="Корр по периодам"/>
      <sheetName val="ДПР"/>
      <sheetName val="Анализ ФХД"/>
      <sheetName val="План ПП"/>
      <sheetName val="Факт ПП"/>
      <sheetName val="Концессия"/>
      <sheetName val="Амортизация (аналог)"/>
      <sheetName val="Расчет тарифа (аналог)"/>
      <sheetName val="Смета"/>
      <sheetName val="Расчет МЭОР"/>
      <sheetName val="ОР (базовый)"/>
      <sheetName val="ИИКА"/>
      <sheetName val="НР"/>
      <sheetName val="Расчет тарифа(корректировка) МИ"/>
      <sheetName val="ПП исх"/>
      <sheetName val="ПП вход"/>
      <sheetName val="БПр_ВС_ФАС"/>
      <sheetName val="БТр_ВС_ФАС"/>
      <sheetName val="БПр_ВО_ФАС"/>
      <sheetName val="БТр_ВО_ФАС"/>
      <sheetName val="Р_ФАС"/>
      <sheetName val="К_ФАС"/>
      <sheetName val="ТМ1"/>
      <sheetName val="ТМ2"/>
      <sheetName val="ТН ФАС"/>
      <sheetName val="ATTACH_DOC"/>
      <sheetName val="Столбцы"/>
      <sheetName val="Столбцы отображение"/>
      <sheetName val="TECH_VERTICAL"/>
      <sheetName val="REESTR_ORG"/>
      <sheetName val="Check"/>
      <sheetName val="Справочник ВД"/>
      <sheetName val="Списки"/>
      <sheetName val="Новые списки"/>
      <sheetName val="REESTR_AREA"/>
      <sheetName val="LIST_DPR"/>
      <sheetName val="REESTR_OBJ_VS"/>
      <sheetName val="REESTR_OBJ_VO"/>
      <sheetName val="REESTR_TARIFF"/>
      <sheetName val="REESTR_MO"/>
      <sheetName val="SheetInfo"/>
      <sheetName val="Информация"/>
      <sheetName val="Лист3"/>
      <sheetName val="autocheck"/>
      <sheetName val="Черновик 1"/>
    </sheetNames>
    <sheetDataSet>
      <sheetData sheetId="0"/>
      <sheetData sheetId="1"/>
      <sheetData sheetId="2">
        <row r="107">
          <cell r="G107" t="str">
            <v>один год</v>
          </cell>
        </row>
      </sheetData>
      <sheetData sheetId="3"/>
      <sheetData sheetId="4"/>
      <sheetData sheetId="5"/>
      <sheetData sheetId="6"/>
      <sheetData sheetId="7"/>
      <sheetData sheetId="8">
        <row r="11">
          <cell r="AD11" t="str">
            <v>Кировская область</v>
          </cell>
        </row>
        <row r="13">
          <cell r="AD13" t="str">
            <v>Версия организации</v>
          </cell>
        </row>
        <row r="19">
          <cell r="AD19" t="str">
            <v>МКП «Универсал» Кильмезского района Кировской области</v>
          </cell>
        </row>
        <row r="61">
          <cell r="AD61" t="str">
            <v>нет</v>
          </cell>
        </row>
        <row r="62">
          <cell r="AD62" t="str">
            <v>Метод индексации</v>
          </cell>
        </row>
        <row r="63">
          <cell r="AD63">
            <v>2024</v>
          </cell>
        </row>
        <row r="71">
          <cell r="AD71" t="str">
            <v>Базовый</v>
          </cell>
        </row>
      </sheetData>
      <sheetData sheetId="9">
        <row r="86">
          <cell r="AC86"/>
        </row>
        <row r="87">
          <cell r="X87" t="str">
            <v>1ВО::1.1</v>
          </cell>
          <cell r="Y87" t="str">
            <v>1ВО</v>
          </cell>
          <cell r="AB87" t="str">
            <v>Водоотведение</v>
          </cell>
          <cell r="AC87" t="str">
            <v>Тариф на транспортировку сточных вод</v>
          </cell>
          <cell r="AF87" t="str">
            <v>Без дифференциации</v>
          </cell>
        </row>
        <row r="88">
          <cell r="Y88" t="str">
            <v>1ВО</v>
          </cell>
          <cell r="AC88"/>
          <cell r="AF88"/>
        </row>
        <row r="89">
          <cell r="Y89" t="str">
            <v>1ВО</v>
          </cell>
          <cell r="AC89"/>
          <cell r="AF89"/>
        </row>
        <row r="90">
          <cell r="AC90"/>
          <cell r="AF90"/>
        </row>
        <row r="91">
          <cell r="AC91"/>
          <cell r="AF91"/>
        </row>
        <row r="93">
          <cell r="Y93" t="str">
            <v>Обратить внимание, что при удалении блока может быть ССЫЛКА</v>
          </cell>
        </row>
      </sheetData>
      <sheetData sheetId="10"/>
      <sheetData sheetId="11"/>
      <sheetData sheetId="12">
        <row r="2">
          <cell r="DG2" t="str">
            <v>Версия организации</v>
          </cell>
        </row>
        <row r="3">
          <cell r="DG3" t="str">
            <v>Версия регулятора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H9">
            <v>2019</v>
          </cell>
        </row>
        <row r="10">
          <cell r="H10">
            <v>5</v>
          </cell>
        </row>
        <row r="17">
          <cell r="O17" t="str">
            <v>Кировская область / 2023 / ООО "Диалог" (ИНН:4303004562, КПП:430301001) / ДПР: 2019-2023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X2" t="str">
            <v>аренда</v>
          </cell>
        </row>
        <row r="3">
          <cell r="X3" t="str">
            <v>безвозмездное пользование</v>
          </cell>
        </row>
        <row r="4">
          <cell r="X4" t="str">
            <v>концессионное соглашение</v>
          </cell>
        </row>
        <row r="5">
          <cell r="X5" t="str">
            <v>оперативное управление</v>
          </cell>
        </row>
        <row r="6">
          <cell r="X6" t="str">
            <v>собственность</v>
          </cell>
        </row>
        <row r="7">
          <cell r="X7" t="str">
            <v>хозяйственное ведение</v>
          </cell>
        </row>
        <row r="8">
          <cell r="X8" t="str">
            <v>договор хранения</v>
          </cell>
        </row>
        <row r="9">
          <cell r="X9" t="str">
            <v>договор эксплуатации</v>
          </cell>
        </row>
        <row r="10">
          <cell r="X10" t="str">
            <v>договор обслуживания</v>
          </cell>
        </row>
        <row r="11">
          <cell r="X11" t="str">
            <v>бесхозяйный объект</v>
          </cell>
        </row>
        <row r="12">
          <cell r="X12" t="str">
            <v>договор инвестирования</v>
          </cell>
        </row>
        <row r="13">
          <cell r="X13" t="str">
            <v>доверительное управление</v>
          </cell>
        </row>
        <row r="14">
          <cell r="X14" t="str">
            <v>субаренда</v>
          </cell>
        </row>
        <row r="17">
          <cell r="X17" t="str">
            <v>договор</v>
          </cell>
        </row>
        <row r="18">
          <cell r="X18" t="str">
            <v>свидетельство</v>
          </cell>
        </row>
        <row r="19">
          <cell r="X19" t="str">
            <v>соглашение</v>
          </cell>
        </row>
        <row r="20">
          <cell r="X20" t="str">
            <v>постановление</v>
          </cell>
        </row>
        <row r="21">
          <cell r="X21" t="str">
            <v>распоряжение</v>
          </cell>
        </row>
        <row r="22">
          <cell r="X22" t="str">
            <v>решение</v>
          </cell>
        </row>
        <row r="23">
          <cell r="X23" t="str">
            <v>приказ</v>
          </cell>
        </row>
        <row r="24">
          <cell r="X24" t="str">
            <v>лицензия</v>
          </cell>
        </row>
        <row r="25">
          <cell r="X25" t="str">
            <v>акт приёма-передачи</v>
          </cell>
        </row>
        <row r="26">
          <cell r="X26" t="str">
            <v>государственный контракт</v>
          </cell>
        </row>
        <row r="27">
          <cell r="X27" t="str">
            <v>балансовая справка</v>
          </cell>
        </row>
        <row r="28">
          <cell r="X28" t="str">
            <v>кадастровый паспорт</v>
          </cell>
        </row>
        <row r="29">
          <cell r="X29" t="str">
            <v>технический паспорт</v>
          </cell>
        </row>
        <row r="30">
          <cell r="X30" t="str">
            <v>устав</v>
          </cell>
        </row>
        <row r="31">
          <cell r="X31" t="str">
            <v>акт ввода в эксплуатацию</v>
          </cell>
        </row>
        <row r="32">
          <cell r="X32" t="str">
            <v>план приватизации</v>
          </cell>
        </row>
        <row r="33">
          <cell r="X33" t="str">
            <v>разрешение на ввод объекта в эксплуатацию</v>
          </cell>
        </row>
        <row r="34">
          <cell r="X34" t="str">
            <v>выписка из ЕГРН</v>
          </cell>
        </row>
        <row r="35">
          <cell r="X35" t="str">
            <v>выписка из РФИ</v>
          </cell>
        </row>
        <row r="36">
          <cell r="X36" t="str">
            <v>документов нет вообще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ДПР"/>
      <sheetName val="ТМ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/>
      <sheetData sheetId="1"/>
      <sheetData sheetId="2"/>
      <sheetData sheetId="3"/>
      <sheetData sheetId="4"/>
      <sheetData sheetId="5">
        <row r="8">
          <cell r="H8">
            <v>2023</v>
          </cell>
        </row>
        <row r="17">
          <cell r="O17" t="str">
            <v>Кировская область / 2023 / ООО "Союз" (ИНН:4303005372, КПП:430301001) / ДПР: 2019-2023</v>
          </cell>
        </row>
        <row r="138">
          <cell r="G138" t="b">
            <v>1</v>
          </cell>
          <cell r="H138" t="b">
            <v>0</v>
          </cell>
          <cell r="I138" t="b">
            <v>0</v>
          </cell>
          <cell r="J138" t="b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J9">
            <v>2023</v>
          </cell>
        </row>
        <row r="17">
          <cell r="O17" t="str">
            <v>Кировская область / 2023 / ООО "ЖКХ Эксперт" (ИНН:4305005748, КПП:434501001) / ДПР: 2019-2023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Расчет тарифа"/>
      <sheetName val="Расчет тарифа методом ЭОЗ"/>
      <sheetName val="Корректировка тарифа "/>
      <sheetName val="Неподконтрольные расходы"/>
      <sheetName val="Корректировка НВВ"/>
      <sheetName val="Сценарии"/>
      <sheetName val="Расчет КиН (ХВ питьев.)"/>
      <sheetName val="Амортизация"/>
      <sheetName val="Арендные и лизинговые платежи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Лист1"/>
      <sheetName val="Лист2"/>
      <sheetName val="Проверка"/>
    </sheetNames>
    <sheetDataSet>
      <sheetData sheetId="0">
        <row r="4">
          <cell r="F4" t="str">
            <v>питьевую воду (питьевое водоснабжение)</v>
          </cell>
        </row>
        <row r="9">
          <cell r="F9">
            <v>2023</v>
          </cell>
        </row>
        <row r="20">
          <cell r="F20">
            <v>0</v>
          </cell>
        </row>
        <row r="22">
          <cell r="F2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D2" t="str">
            <v>Арбажский муниципальный район</v>
          </cell>
        </row>
        <row r="3">
          <cell r="D3" t="str">
            <v>Афанасьевский муниципальный район</v>
          </cell>
        </row>
        <row r="4">
          <cell r="D4" t="str">
            <v>Белохолуницкий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Верхнекамский муниципальный район</v>
          </cell>
        </row>
        <row r="7">
          <cell r="D7" t="str">
            <v>Верхошижемский муниципальный район</v>
          </cell>
        </row>
        <row r="8">
          <cell r="D8" t="str">
            <v>Вятские Поляны</v>
          </cell>
        </row>
        <row r="9">
          <cell r="D9" t="str">
            <v>Вятскополянский муниципальный район</v>
          </cell>
        </row>
        <row r="10">
          <cell r="D10" t="str">
            <v>Даровской муниципальный район</v>
          </cell>
        </row>
        <row r="11">
          <cell r="D11" t="str">
            <v>ЗАТО Первомайский</v>
          </cell>
        </row>
        <row r="12">
          <cell r="D12" t="str">
            <v>Зуевский муниципальный район</v>
          </cell>
        </row>
        <row r="13">
          <cell r="D13" t="str">
            <v>Кикнурский муниципальный район</v>
          </cell>
        </row>
        <row r="14">
          <cell r="D14" t="str">
            <v>Кильмезский муниципальный район</v>
          </cell>
        </row>
        <row r="15">
          <cell r="D15" t="str">
            <v>Киров</v>
          </cell>
        </row>
        <row r="16">
          <cell r="D16" t="str">
            <v>Кирово-Чепецк</v>
          </cell>
        </row>
        <row r="17">
          <cell r="D17" t="str">
            <v>Кирово-Чепецкий муниципальный район</v>
          </cell>
        </row>
        <row r="18">
          <cell r="D18" t="str">
            <v>Котельнич</v>
          </cell>
        </row>
        <row r="19">
          <cell r="D19" t="str">
            <v>Котельничский муниципальный район</v>
          </cell>
        </row>
        <row r="20">
          <cell r="D20" t="str">
            <v>Куменский муниципальный район</v>
          </cell>
        </row>
        <row r="21">
          <cell r="D21" t="str">
            <v>Лебяжский муниципальный район</v>
          </cell>
        </row>
        <row r="22">
          <cell r="D22" t="str">
            <v>Лузский муниципальный район</v>
          </cell>
        </row>
        <row r="23">
          <cell r="D23" t="str">
            <v>Малмыжский муниципальный район</v>
          </cell>
        </row>
        <row r="24">
          <cell r="D24" t="str">
            <v>Мурашинский муниципальный район</v>
          </cell>
        </row>
        <row r="25">
          <cell r="D25" t="str">
            <v>Нагорский муниципальный район</v>
          </cell>
        </row>
        <row r="26">
          <cell r="D26" t="str">
            <v>Немский муниципальный район</v>
          </cell>
        </row>
        <row r="27">
          <cell r="D27" t="str">
            <v>Нолинский муниципальный район</v>
          </cell>
        </row>
        <row r="28">
          <cell r="D28" t="str">
            <v>Омутнинский муниципальный район</v>
          </cell>
        </row>
        <row r="29">
          <cell r="D29" t="str">
            <v>Опаринский муниципальный район</v>
          </cell>
        </row>
        <row r="30">
          <cell r="D30" t="str">
            <v>Оричевский муниципальный район</v>
          </cell>
        </row>
        <row r="31">
          <cell r="D31" t="str">
            <v>Орловский муниципальный район</v>
          </cell>
        </row>
        <row r="32">
          <cell r="D32" t="str">
            <v>Пижанский муниципальный район</v>
          </cell>
        </row>
        <row r="33">
          <cell r="D33" t="str">
            <v>Подосиновский муниципальный район</v>
          </cell>
        </row>
        <row r="34">
          <cell r="D34" t="str">
            <v>Санчурский муниципальный район</v>
          </cell>
        </row>
        <row r="35">
          <cell r="D35" t="str">
            <v>Свечинский муниципальный район</v>
          </cell>
        </row>
        <row r="36">
          <cell r="D36" t="str">
            <v>Слободской</v>
          </cell>
        </row>
        <row r="37">
          <cell r="D37" t="str">
            <v>Слободской муниципальный район</v>
          </cell>
        </row>
        <row r="38">
          <cell r="D38" t="str">
            <v>Советский муниципальный район</v>
          </cell>
        </row>
        <row r="39">
          <cell r="D39" t="str">
            <v>Сунский муниципальный район</v>
          </cell>
        </row>
        <row r="40">
          <cell r="D40" t="str">
            <v>Тужинский муниципальный район</v>
          </cell>
        </row>
        <row r="41">
          <cell r="D41" t="str">
            <v>Унинский муниципальный район</v>
          </cell>
        </row>
        <row r="42">
          <cell r="D42" t="str">
            <v>Уржумский муниципальный район</v>
          </cell>
        </row>
        <row r="43">
          <cell r="D43" t="str">
            <v>Фаленский муниципальный район</v>
          </cell>
        </row>
        <row r="44">
          <cell r="D44" t="str">
            <v>Шабалинский муниципальный район</v>
          </cell>
        </row>
        <row r="45">
          <cell r="D45" t="str">
            <v>Юрьянский муниципальный район</v>
          </cell>
        </row>
        <row r="46">
          <cell r="D46" t="str">
            <v>Яранский муниципальный район</v>
          </cell>
        </row>
      </sheetData>
      <sheetData sheetId="17">
        <row r="1">
          <cell r="I1">
            <v>2011</v>
          </cell>
        </row>
        <row r="2">
          <cell r="I2">
            <v>2012</v>
          </cell>
        </row>
        <row r="3">
          <cell r="I3">
            <v>2013</v>
          </cell>
        </row>
        <row r="4">
          <cell r="I4">
            <v>2014</v>
          </cell>
        </row>
        <row r="5">
          <cell r="I5">
            <v>2015</v>
          </cell>
        </row>
        <row r="6">
          <cell r="I6">
            <v>2016</v>
          </cell>
        </row>
        <row r="7">
          <cell r="I7">
            <v>2017</v>
          </cell>
        </row>
        <row r="8">
          <cell r="I8">
            <v>2018</v>
          </cell>
        </row>
        <row r="9">
          <cell r="I9">
            <v>2019</v>
          </cell>
        </row>
        <row r="10">
          <cell r="I10">
            <v>2020</v>
          </cell>
        </row>
        <row r="11">
          <cell r="I11">
            <v>2021</v>
          </cell>
        </row>
        <row r="12">
          <cell r="I12">
            <v>2022</v>
          </cell>
        </row>
        <row r="13"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мета расходов"/>
      <sheetName val="Расчет тарифа"/>
      <sheetName val="Сведения ВС и ВО"/>
      <sheetName val="Объекты ВС"/>
      <sheetName val="Показатели ВС"/>
      <sheetName val="Баланс ВС"/>
      <sheetName val="Фин.показ."/>
      <sheetName val="Тех.показ."/>
      <sheetName val="Расчет тарифа методом ЭОЗ"/>
      <sheetName val="Расчет тарифа мет. инд. 3 года"/>
      <sheetName val="Расчет тарифа мет. инд. 4 года"/>
      <sheetName val="Расчет тарифа мет. инд. 5 лет"/>
      <sheetName val="Расчет тарифа мет. инд. 6 лет"/>
      <sheetName val="Расчет тарифа мет. инд. 7 лет"/>
      <sheetName val="Расчет тарифа мет. инд. 8 лет"/>
      <sheetName val="Расчет тарифа мет. инд. 9 лет"/>
      <sheetName val="Расчет тарифа мет. инд. 10 лет"/>
      <sheetName val="Объем"/>
      <sheetName val="Неподконтрольные расходы"/>
      <sheetName val="Сырье и материалы (2.1)"/>
      <sheetName val="Сырье и материалы (2.1.1)"/>
      <sheetName val="Расходы на энергоресурсы и ХВС"/>
      <sheetName val="ФОТ осн"/>
      <sheetName val="ФОТ цех"/>
      <sheetName val="ФОТ ауп"/>
      <sheetName val="ФОТ рем"/>
      <sheetName val="Амортизация"/>
      <sheetName val="Расходы на тек. и кап. ремонт"/>
      <sheetName val="Источники фин кап. вложений"/>
      <sheetName val="Арендные и лизинговые платежи"/>
      <sheetName val="Аренда ВС и ВО"/>
      <sheetName val="Прочие производственные расходы"/>
      <sheetName val="Цеховые"/>
      <sheetName val="Общеэксплуатационные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Проверка"/>
    </sheetNames>
    <sheetDataSet>
      <sheetData sheetId="0" refreshError="1">
        <row r="3">
          <cell r="G3" t="str">
            <v>Версия 4.1.</v>
          </cell>
        </row>
      </sheetData>
      <sheetData sheetId="1" refreshError="1">
        <row r="5">
          <cell r="F5" t="str">
            <v>питьевую воду (питьевое водоснабжение)</v>
          </cell>
        </row>
        <row r="10">
          <cell r="F10">
            <v>2024</v>
          </cell>
        </row>
        <row r="21">
          <cell r="F21" t="str">
            <v>Вятские Поляны</v>
          </cell>
        </row>
        <row r="23">
          <cell r="F23" t="str">
            <v>Вятские Поляны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2">
          <cell r="D2" t="str">
            <v>Арбажский муниципальный район</v>
          </cell>
        </row>
        <row r="3">
          <cell r="D3" t="str">
            <v>Афанасьевский муниципальный район</v>
          </cell>
        </row>
        <row r="4">
          <cell r="D4" t="str">
            <v>Белохолуницкий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Верхнекамский муниципальный район</v>
          </cell>
        </row>
        <row r="7">
          <cell r="D7" t="str">
            <v>Верхошижемский муниципальный район</v>
          </cell>
        </row>
        <row r="8">
          <cell r="D8" t="str">
            <v>Вятские Поляны</v>
          </cell>
        </row>
        <row r="9">
          <cell r="D9" t="str">
            <v>Вятскополянский муниципальный район</v>
          </cell>
        </row>
        <row r="10">
          <cell r="D10" t="str">
            <v>Даровской муниципальный район</v>
          </cell>
        </row>
        <row r="11">
          <cell r="D11" t="str">
            <v>ЗАТО Первомайский</v>
          </cell>
        </row>
        <row r="12">
          <cell r="D12" t="str">
            <v>Зуевский муниципальный район</v>
          </cell>
        </row>
        <row r="13">
          <cell r="D13" t="str">
            <v>Кикнурский муниципальный район</v>
          </cell>
        </row>
        <row r="14">
          <cell r="D14" t="str">
            <v>Кильмезский муниципальный район</v>
          </cell>
        </row>
        <row r="15">
          <cell r="D15" t="str">
            <v>Киров</v>
          </cell>
        </row>
        <row r="16">
          <cell r="D16" t="str">
            <v>Кирово-Чепецк</v>
          </cell>
        </row>
        <row r="17">
          <cell r="D17" t="str">
            <v>Кирово-Чепецкий муниципальный район</v>
          </cell>
        </row>
        <row r="18">
          <cell r="D18" t="str">
            <v>Котельнич</v>
          </cell>
        </row>
        <row r="19">
          <cell r="D19" t="str">
            <v>Котельничский муниципальный район</v>
          </cell>
        </row>
        <row r="20">
          <cell r="D20" t="str">
            <v>Куменский муниципальный район</v>
          </cell>
        </row>
        <row r="21">
          <cell r="D21" t="str">
            <v>Лебяжский муниципальный район</v>
          </cell>
        </row>
        <row r="22">
          <cell r="D22" t="str">
            <v>Лузский муниципальный район</v>
          </cell>
        </row>
        <row r="23">
          <cell r="D23" t="str">
            <v>Малмыжский муниципальный район</v>
          </cell>
        </row>
        <row r="24">
          <cell r="D24" t="str">
            <v>Мурашинский муниципальный район</v>
          </cell>
        </row>
        <row r="25">
          <cell r="D25" t="str">
            <v>Нагорский муниципальный район</v>
          </cell>
        </row>
        <row r="26">
          <cell r="D26" t="str">
            <v>Немский муниципальный район</v>
          </cell>
        </row>
        <row r="27">
          <cell r="D27" t="str">
            <v>Нолинский муниципальный район</v>
          </cell>
        </row>
        <row r="28">
          <cell r="D28" t="str">
            <v>Омутнинский муниципальный район</v>
          </cell>
        </row>
        <row r="29">
          <cell r="D29" t="str">
            <v>Опаринский муниципальный район</v>
          </cell>
        </row>
        <row r="30">
          <cell r="D30" t="str">
            <v>Оричевский муниципальный район</v>
          </cell>
        </row>
        <row r="31">
          <cell r="D31" t="str">
            <v>Орловский муниципальный район</v>
          </cell>
        </row>
        <row r="32">
          <cell r="D32" t="str">
            <v>Пижанский муниципальный район</v>
          </cell>
        </row>
        <row r="33">
          <cell r="D33" t="str">
            <v>Подосиновский муниципальный район</v>
          </cell>
        </row>
        <row r="34">
          <cell r="D34" t="str">
            <v>Санчурский муниципальный район</v>
          </cell>
        </row>
        <row r="35">
          <cell r="D35" t="str">
            <v>Свечинский муниципальный район</v>
          </cell>
        </row>
        <row r="36">
          <cell r="D36" t="str">
            <v>Слободской</v>
          </cell>
        </row>
        <row r="37">
          <cell r="D37" t="str">
            <v>Слободской муниципальный район</v>
          </cell>
        </row>
        <row r="38">
          <cell r="D38" t="str">
            <v>Советский муниципальный район</v>
          </cell>
        </row>
        <row r="39">
          <cell r="D39" t="str">
            <v>Сунский муниципальный район</v>
          </cell>
        </row>
        <row r="40">
          <cell r="D40" t="str">
            <v>Тужинский муниципальный район</v>
          </cell>
        </row>
        <row r="41">
          <cell r="D41" t="str">
            <v>Унинский муниципальный район</v>
          </cell>
        </row>
        <row r="42">
          <cell r="D42" t="str">
            <v>Уржумский муниципальный район</v>
          </cell>
        </row>
        <row r="43">
          <cell r="D43" t="str">
            <v>Фаленский муниципальный район</v>
          </cell>
        </row>
        <row r="44">
          <cell r="D44" t="str">
            <v>Шабалинский муниципальный район</v>
          </cell>
        </row>
        <row r="45">
          <cell r="D45" t="str">
            <v>Юрьянский муниципальный район</v>
          </cell>
        </row>
        <row r="46">
          <cell r="D46" t="str">
            <v>Яранский муниципальный район</v>
          </cell>
        </row>
      </sheetData>
      <sheetData sheetId="43" refreshError="1">
        <row r="1">
          <cell r="I1">
            <v>2011</v>
          </cell>
        </row>
        <row r="2">
          <cell r="I2">
            <v>2012</v>
          </cell>
        </row>
        <row r="3">
          <cell r="I3">
            <v>2013</v>
          </cell>
        </row>
        <row r="4">
          <cell r="I4">
            <v>2014</v>
          </cell>
        </row>
        <row r="5">
          <cell r="I5">
            <v>2015</v>
          </cell>
        </row>
        <row r="6">
          <cell r="I6">
            <v>2016</v>
          </cell>
        </row>
        <row r="7">
          <cell r="I7">
            <v>2017</v>
          </cell>
        </row>
        <row r="8">
          <cell r="I8">
            <v>2018</v>
          </cell>
        </row>
        <row r="9">
          <cell r="I9">
            <v>2019</v>
          </cell>
        </row>
        <row r="10">
          <cell r="I10">
            <v>2020</v>
          </cell>
        </row>
        <row r="11">
          <cell r="I11">
            <v>2021</v>
          </cell>
        </row>
        <row r="12">
          <cell r="I12">
            <v>2022</v>
          </cell>
        </row>
        <row r="13"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1"/>
      <sheetName val="П 1"/>
      <sheetName val="П 4"/>
      <sheetName val="regs"/>
      <sheetName val="Справочники"/>
      <sheetName val="1"/>
      <sheetName val="Титульный"/>
      <sheetName val="TSheet"/>
      <sheetName val="к2"/>
      <sheetName val="Контроль"/>
      <sheetName val="tsh"/>
      <sheetName val="Анализ"/>
      <sheetName val="11"/>
      <sheetName val="ORGS"/>
      <sheetName val="Обнулить"/>
      <sheetName val="TEHSHEET"/>
      <sheetName val="3.6.1."/>
      <sheetName val="REESTR"/>
      <sheetName val="FST5"/>
      <sheetName val="СЛ7"/>
      <sheetName val="REESTR_MO"/>
      <sheetName val="СЛ3"/>
      <sheetName val="Титульный лист"/>
      <sheetName val="Инструкция"/>
      <sheetName val="таблица7 (технол.нужды)"/>
      <sheetName val="таблица7 (хоз.нужды)"/>
      <sheetName val="Заголовок"/>
      <sheetName val="П 21-1"/>
      <sheetName val="КУ1"/>
      <sheetName val="ИТ№4"/>
      <sheetName val="П№11"/>
      <sheetName val="П№12"/>
      <sheetName val="П№10"/>
      <sheetName val="Заголовок2"/>
      <sheetName val="данные"/>
      <sheetName val="П№5"/>
      <sheetName val="Т№2"/>
      <sheetName val="Лист3"/>
      <sheetName val="Смета"/>
      <sheetName val="2"/>
      <sheetName val="3"/>
      <sheetName val="4"/>
      <sheetName val="5"/>
      <sheetName val="6"/>
      <sheetName val="Справочник"/>
      <sheetName val="Баланс"/>
      <sheetName val="0"/>
      <sheetName val="2.1"/>
      <sheetName val="2.2"/>
      <sheetName val="2.3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MAIN"/>
      <sheetName val="информ.объемы"/>
      <sheetName val="111"/>
      <sheetName val="Баланс. комиссия (ФЭП)"/>
      <sheetName val="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H8">
            <v>2023</v>
          </cell>
        </row>
        <row r="9">
          <cell r="J9">
            <v>2023</v>
          </cell>
        </row>
        <row r="17">
          <cell r="O17" t="str">
            <v>Кировская область / 2023 / МУП "Коммунальное хозяйство" (ИНН:4303006760, КПП:430301001) / ДПР: 2022-2026</v>
          </cell>
        </row>
        <row r="41">
          <cell r="H41" t="str">
            <v>нет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X2" t="str">
            <v>аренда</v>
          </cell>
          <cell r="Y2" t="str">
            <v>Без разбивки</v>
          </cell>
        </row>
        <row r="3">
          <cell r="Y3" t="str">
            <v>ВН1</v>
          </cell>
        </row>
        <row r="4">
          <cell r="Y4" t="str">
            <v>ВН</v>
          </cell>
        </row>
        <row r="5">
          <cell r="Y5" t="str">
            <v>СН1</v>
          </cell>
        </row>
        <row r="6">
          <cell r="Y6" t="str">
            <v>СН2</v>
          </cell>
        </row>
        <row r="7">
          <cell r="Y7" t="str">
            <v>НН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3FED-2F09-4F95-BF7C-59B475A99F49}">
  <dimension ref="A1:BA271"/>
  <sheetViews>
    <sheetView tabSelected="1" topLeftCell="K11" workbookViewId="0">
      <selection activeCell="M11" sqref="M11"/>
    </sheetView>
  </sheetViews>
  <sheetFormatPr defaultColWidth="9.140625" defaultRowHeight="10.5" outlineLevelRow="1" x14ac:dyDescent="0.2"/>
  <cols>
    <col min="1" max="1" width="2.7109375" style="537" hidden="1" customWidth="1"/>
    <col min="2" max="2" width="19.5703125" style="537" hidden="1" customWidth="1"/>
    <col min="3" max="4" width="12" style="537" hidden="1" customWidth="1"/>
    <col min="5" max="10" width="2.7109375" style="537" hidden="1" customWidth="1"/>
    <col min="11" max="11" width="3.7109375" style="537" customWidth="1"/>
    <col min="12" max="12" width="8.7109375" style="538" customWidth="1"/>
    <col min="13" max="13" width="70.7109375" style="539" customWidth="1"/>
    <col min="14" max="14" width="12.7109375" style="538" customWidth="1"/>
    <col min="15" max="17" width="13.28515625" style="537" customWidth="1"/>
    <col min="18" max="18" width="19.7109375" style="537" hidden="1" customWidth="1"/>
    <col min="19" max="24" width="13.28515625" style="537" customWidth="1"/>
    <col min="25" max="29" width="13.28515625" style="537" hidden="1" customWidth="1"/>
    <col min="30" max="34" width="13.28515625" style="537" customWidth="1"/>
    <col min="35" max="49" width="13.28515625" style="537" hidden="1" customWidth="1"/>
    <col min="50" max="50" width="19.5703125" style="537" hidden="1" customWidth="1"/>
    <col min="51" max="51" width="17.85546875" style="537" hidden="1" customWidth="1"/>
    <col min="52" max="52" width="31.85546875" style="537" hidden="1" customWidth="1"/>
    <col min="53" max="53" width="17.85546875" style="537" hidden="1" customWidth="1"/>
    <col min="54" max="16384" width="9.140625" style="537"/>
  </cols>
  <sheetData>
    <row r="1" spans="1:53" ht="11.25" hidden="1" x14ac:dyDescent="0.2">
      <c r="O1" s="537" t="e">
        <f>god-2</f>
        <v>#REF!</v>
      </c>
      <c r="P1" s="537" t="e">
        <f>god-2</f>
        <v>#REF!</v>
      </c>
      <c r="Q1" s="537" t="e">
        <f>god-2</f>
        <v>#REF!</v>
      </c>
      <c r="R1" s="537" t="e">
        <f>god-2</f>
        <v>#REF!</v>
      </c>
      <c r="S1" s="540" t="e">
        <f>god-1</f>
        <v>#REF!</v>
      </c>
      <c r="T1" s="540" t="e">
        <f>god</f>
        <v>#REF!</v>
      </c>
      <c r="U1" s="540" t="e">
        <f>god+1</f>
        <v>#REF!</v>
      </c>
      <c r="V1" s="540" t="e">
        <f>god+2</f>
        <v>#REF!</v>
      </c>
      <c r="W1" s="540" t="e">
        <f>god+3</f>
        <v>#REF!</v>
      </c>
      <c r="X1" s="540" t="e">
        <f>god+4</f>
        <v>#REF!</v>
      </c>
      <c r="Y1" s="540" t="e">
        <f>god+5</f>
        <v>#REF!</v>
      </c>
      <c r="Z1" s="540" t="e">
        <f>god+6</f>
        <v>#REF!</v>
      </c>
      <c r="AA1" s="540" t="e">
        <f>god+7</f>
        <v>#REF!</v>
      </c>
      <c r="AB1" s="540" t="e">
        <f>god+8</f>
        <v>#REF!</v>
      </c>
      <c r="AC1" s="540" t="e">
        <f>god+9</f>
        <v>#REF!</v>
      </c>
      <c r="AD1" s="540" t="e">
        <f>god</f>
        <v>#REF!</v>
      </c>
      <c r="AE1" s="540" t="e">
        <f>god+1</f>
        <v>#REF!</v>
      </c>
      <c r="AF1" s="540" t="e">
        <f>god+2</f>
        <v>#REF!</v>
      </c>
      <c r="AG1" s="540" t="e">
        <f>god+3</f>
        <v>#REF!</v>
      </c>
      <c r="AH1" s="540" t="e">
        <f>god+4</f>
        <v>#REF!</v>
      </c>
      <c r="AI1" s="540" t="e">
        <f>god+5</f>
        <v>#REF!</v>
      </c>
      <c r="AJ1" s="540" t="e">
        <f>god+6</f>
        <v>#REF!</v>
      </c>
      <c r="AK1" s="540" t="e">
        <f>god+7</f>
        <v>#REF!</v>
      </c>
      <c r="AL1" s="540" t="e">
        <f>god+8</f>
        <v>#REF!</v>
      </c>
      <c r="AM1" s="540" t="e">
        <f>god+9</f>
        <v>#REF!</v>
      </c>
      <c r="AN1" s="540" t="e">
        <f>god</f>
        <v>#REF!</v>
      </c>
      <c r="AO1" s="540" t="e">
        <f>god+1</f>
        <v>#REF!</v>
      </c>
      <c r="AP1" s="540" t="e">
        <f>god+2</f>
        <v>#REF!</v>
      </c>
      <c r="AQ1" s="540" t="e">
        <f>god+3</f>
        <v>#REF!</v>
      </c>
      <c r="AR1" s="540" t="e">
        <f>god+4</f>
        <v>#REF!</v>
      </c>
      <c r="AS1" s="540" t="e">
        <f>god+5</f>
        <v>#REF!</v>
      </c>
      <c r="AT1" s="540" t="e">
        <f>god+6</f>
        <v>#REF!</v>
      </c>
      <c r="AU1" s="540" t="e">
        <f>god+7</f>
        <v>#REF!</v>
      </c>
      <c r="AV1" s="540" t="e">
        <f>god+8</f>
        <v>#REF!</v>
      </c>
      <c r="AW1" s="540" t="e">
        <f>god+9</f>
        <v>#REF!</v>
      </c>
    </row>
    <row r="2" spans="1:53" ht="11.25" hidden="1" x14ac:dyDescent="0.2">
      <c r="O2" s="540" t="str">
        <f>O15</f>
        <v>Принято органом регулирования</v>
      </c>
      <c r="P2" s="540" t="str">
        <f>P15</f>
        <v>Факт по данным организации</v>
      </c>
      <c r="Q2" s="540" t="str">
        <f>Q15</f>
        <v>Факт, принятый органом регулирования</v>
      </c>
      <c r="R2" s="540" t="str">
        <f>R15</f>
        <v>отклонение факта по данным организации к факту принятому органом регулирования</v>
      </c>
      <c r="S2" s="540" t="str">
        <f>S15</f>
        <v>Принято органом регулирования</v>
      </c>
      <c r="T2" s="540" t="str">
        <f>$T$15</f>
        <v>Предложение организации</v>
      </c>
      <c r="U2" s="540" t="str">
        <f t="shared" ref="U2:AC2" si="0">$T$15</f>
        <v>Предложение организации</v>
      </c>
      <c r="V2" s="540" t="str">
        <f t="shared" si="0"/>
        <v>Предложение организации</v>
      </c>
      <c r="W2" s="540" t="str">
        <f t="shared" si="0"/>
        <v>Предложение организации</v>
      </c>
      <c r="X2" s="540" t="str">
        <f t="shared" si="0"/>
        <v>Предложение организации</v>
      </c>
      <c r="Y2" s="540" t="str">
        <f t="shared" si="0"/>
        <v>Предложение организации</v>
      </c>
      <c r="Z2" s="540" t="str">
        <f t="shared" si="0"/>
        <v>Предложение организации</v>
      </c>
      <c r="AA2" s="540" t="str">
        <f t="shared" si="0"/>
        <v>Предложение организации</v>
      </c>
      <c r="AB2" s="540" t="str">
        <f t="shared" si="0"/>
        <v>Предложение организации</v>
      </c>
      <c r="AC2" s="540" t="str">
        <f t="shared" si="0"/>
        <v>Предложение организации</v>
      </c>
      <c r="AD2" s="540" t="str">
        <f>$AD$15</f>
        <v>Принято органом регулирования</v>
      </c>
      <c r="AE2" s="540" t="str">
        <f t="shared" ref="AE2:AM2" si="1">$AD$15</f>
        <v>Принято органом регулирования</v>
      </c>
      <c r="AF2" s="540" t="str">
        <f t="shared" si="1"/>
        <v>Принято органом регулирования</v>
      </c>
      <c r="AG2" s="540" t="str">
        <f t="shared" si="1"/>
        <v>Принято органом регулирования</v>
      </c>
      <c r="AH2" s="540" t="str">
        <f t="shared" si="1"/>
        <v>Принято органом регулирования</v>
      </c>
      <c r="AI2" s="540" t="str">
        <f t="shared" si="1"/>
        <v>Принято органом регулирования</v>
      </c>
      <c r="AJ2" s="540" t="str">
        <f t="shared" si="1"/>
        <v>Принято органом регулирования</v>
      </c>
      <c r="AK2" s="540" t="str">
        <f t="shared" si="1"/>
        <v>Принято органом регулирования</v>
      </c>
      <c r="AL2" s="540" t="str">
        <f t="shared" si="1"/>
        <v>Принято органом регулирования</v>
      </c>
      <c r="AM2" s="540" t="str">
        <f t="shared" si="1"/>
        <v>Принято органом регулирования</v>
      </c>
      <c r="AN2" s="540"/>
      <c r="AO2" s="540"/>
      <c r="AP2" s="540"/>
      <c r="AQ2" s="540"/>
      <c r="AR2" s="540"/>
      <c r="AS2" s="540"/>
      <c r="AT2" s="540"/>
      <c r="AU2" s="540"/>
      <c r="AV2" s="540"/>
      <c r="AW2" s="540"/>
    </row>
    <row r="3" spans="1:53" ht="11.25" hidden="1" x14ac:dyDescent="0.2">
      <c r="O3" s="540" t="e">
        <f t="shared" ref="O3:AM3" si="2">O1&amp;O2</f>
        <v>#REF!</v>
      </c>
      <c r="P3" s="540" t="e">
        <f t="shared" si="2"/>
        <v>#REF!</v>
      </c>
      <c r="Q3" s="540" t="e">
        <f t="shared" si="2"/>
        <v>#REF!</v>
      </c>
      <c r="R3" s="540" t="e">
        <f t="shared" si="2"/>
        <v>#REF!</v>
      </c>
      <c r="S3" s="540" t="e">
        <f t="shared" si="2"/>
        <v>#REF!</v>
      </c>
      <c r="T3" s="540" t="e">
        <f t="shared" si="2"/>
        <v>#REF!</v>
      </c>
      <c r="U3" s="540" t="e">
        <f t="shared" si="2"/>
        <v>#REF!</v>
      </c>
      <c r="V3" s="540" t="e">
        <f t="shared" si="2"/>
        <v>#REF!</v>
      </c>
      <c r="W3" s="540" t="e">
        <f t="shared" si="2"/>
        <v>#REF!</v>
      </c>
      <c r="X3" s="540" t="e">
        <f t="shared" si="2"/>
        <v>#REF!</v>
      </c>
      <c r="Y3" s="540" t="e">
        <f t="shared" si="2"/>
        <v>#REF!</v>
      </c>
      <c r="Z3" s="540" t="e">
        <f t="shared" si="2"/>
        <v>#REF!</v>
      </c>
      <c r="AA3" s="540" t="e">
        <f t="shared" si="2"/>
        <v>#REF!</v>
      </c>
      <c r="AB3" s="540" t="e">
        <f t="shared" si="2"/>
        <v>#REF!</v>
      </c>
      <c r="AC3" s="540" t="e">
        <f t="shared" si="2"/>
        <v>#REF!</v>
      </c>
      <c r="AD3" s="540" t="e">
        <f t="shared" si="2"/>
        <v>#REF!</v>
      </c>
      <c r="AE3" s="540" t="e">
        <f t="shared" si="2"/>
        <v>#REF!</v>
      </c>
      <c r="AF3" s="540" t="e">
        <f t="shared" si="2"/>
        <v>#REF!</v>
      </c>
      <c r="AG3" s="540" t="e">
        <f t="shared" si="2"/>
        <v>#REF!</v>
      </c>
      <c r="AH3" s="540" t="e">
        <f t="shared" si="2"/>
        <v>#REF!</v>
      </c>
      <c r="AI3" s="540" t="e">
        <f t="shared" si="2"/>
        <v>#REF!</v>
      </c>
      <c r="AJ3" s="540" t="e">
        <f t="shared" si="2"/>
        <v>#REF!</v>
      </c>
      <c r="AK3" s="540" t="e">
        <f t="shared" si="2"/>
        <v>#REF!</v>
      </c>
      <c r="AL3" s="540" t="e">
        <f t="shared" si="2"/>
        <v>#REF!</v>
      </c>
      <c r="AM3" s="540" t="e">
        <f t="shared" si="2"/>
        <v>#REF!</v>
      </c>
      <c r="AN3" s="540"/>
      <c r="AO3" s="540"/>
      <c r="AP3" s="540"/>
      <c r="AQ3" s="540"/>
      <c r="AR3" s="540"/>
      <c r="AS3" s="540"/>
      <c r="AT3" s="540"/>
      <c r="AU3" s="540"/>
      <c r="AV3" s="540"/>
      <c r="AW3" s="540"/>
    </row>
    <row r="4" spans="1:53" ht="11.25" hidden="1" x14ac:dyDescent="0.2">
      <c r="T4" s="540"/>
      <c r="U4" s="540"/>
      <c r="V4" s="540"/>
      <c r="W4" s="540"/>
      <c r="X4" s="540"/>
      <c r="Y4" s="540"/>
      <c r="Z4" s="540"/>
      <c r="AA4" s="540"/>
      <c r="AB4" s="540"/>
      <c r="AC4" s="540"/>
      <c r="AD4" s="540"/>
      <c r="AE4" s="540"/>
      <c r="AF4" s="540"/>
      <c r="AG4" s="540"/>
      <c r="AH4" s="540"/>
      <c r="AI4" s="540"/>
      <c r="AJ4" s="540"/>
      <c r="AK4" s="540"/>
      <c r="AL4" s="540"/>
      <c r="AM4" s="540"/>
      <c r="AN4" s="540"/>
      <c r="AO4" s="540"/>
      <c r="AP4" s="540"/>
      <c r="AQ4" s="540"/>
      <c r="AR4" s="540"/>
      <c r="AS4" s="540"/>
      <c r="AT4" s="540"/>
      <c r="AU4" s="540"/>
      <c r="AV4" s="540"/>
      <c r="AW4" s="540"/>
    </row>
    <row r="5" spans="1:53" ht="11.25" hidden="1" x14ac:dyDescent="0.2">
      <c r="T5" s="540"/>
      <c r="U5" s="540"/>
      <c r="V5" s="540"/>
      <c r="W5" s="540"/>
      <c r="X5" s="540"/>
      <c r="Y5" s="540"/>
      <c r="Z5" s="540"/>
      <c r="AA5" s="540"/>
      <c r="AB5" s="540"/>
      <c r="AC5" s="540"/>
      <c r="AD5" s="540"/>
      <c r="AE5" s="540"/>
      <c r="AF5" s="540"/>
      <c r="AG5" s="540"/>
      <c r="AH5" s="540"/>
      <c r="AI5" s="540"/>
      <c r="AJ5" s="540"/>
      <c r="AK5" s="540"/>
      <c r="AL5" s="540"/>
      <c r="AM5" s="540"/>
      <c r="AN5" s="540"/>
      <c r="AO5" s="540"/>
      <c r="AP5" s="540"/>
      <c r="AQ5" s="540"/>
      <c r="AR5" s="540"/>
      <c r="AS5" s="540"/>
      <c r="AT5" s="540"/>
      <c r="AU5" s="540"/>
      <c r="AV5" s="540"/>
      <c r="AW5" s="540"/>
    </row>
    <row r="6" spans="1:53" ht="11.25" hidden="1" x14ac:dyDescent="0.2">
      <c r="T6" s="540"/>
      <c r="U6" s="540"/>
      <c r="V6" s="540"/>
      <c r="W6" s="540"/>
      <c r="X6" s="540"/>
      <c r="Y6" s="540"/>
      <c r="Z6" s="540"/>
      <c r="AA6" s="540"/>
      <c r="AB6" s="540"/>
      <c r="AC6" s="540"/>
      <c r="AD6" s="540"/>
      <c r="AE6" s="540"/>
      <c r="AF6" s="540"/>
      <c r="AG6" s="540"/>
      <c r="AH6" s="540"/>
      <c r="AI6" s="540"/>
      <c r="AJ6" s="540"/>
      <c r="AK6" s="540"/>
      <c r="AL6" s="540"/>
      <c r="AM6" s="540"/>
      <c r="AN6" s="540"/>
      <c r="AO6" s="540"/>
      <c r="AP6" s="540"/>
      <c r="AQ6" s="540"/>
      <c r="AR6" s="540"/>
      <c r="AS6" s="540"/>
      <c r="AT6" s="540"/>
      <c r="AU6" s="540"/>
      <c r="AV6" s="540"/>
      <c r="AW6" s="540"/>
    </row>
    <row r="7" spans="1:53" ht="11.25" hidden="1" x14ac:dyDescent="0.15">
      <c r="T7" s="541" t="e">
        <f t="shared" ref="T7:AW7" si="3">T1&lt;=last_year_vis</f>
        <v>#REF!</v>
      </c>
      <c r="U7" s="541" t="e">
        <f t="shared" si="3"/>
        <v>#REF!</v>
      </c>
      <c r="V7" s="541" t="e">
        <f t="shared" si="3"/>
        <v>#REF!</v>
      </c>
      <c r="W7" s="541" t="e">
        <f t="shared" si="3"/>
        <v>#REF!</v>
      </c>
      <c r="X7" s="541" t="e">
        <f t="shared" si="3"/>
        <v>#REF!</v>
      </c>
      <c r="Y7" s="541" t="e">
        <f t="shared" si="3"/>
        <v>#REF!</v>
      </c>
      <c r="Z7" s="541" t="e">
        <f t="shared" si="3"/>
        <v>#REF!</v>
      </c>
      <c r="AA7" s="541" t="e">
        <f t="shared" si="3"/>
        <v>#REF!</v>
      </c>
      <c r="AB7" s="541" t="e">
        <f t="shared" si="3"/>
        <v>#REF!</v>
      </c>
      <c r="AC7" s="541" t="e">
        <f t="shared" si="3"/>
        <v>#REF!</v>
      </c>
      <c r="AD7" s="541" t="e">
        <f t="shared" si="3"/>
        <v>#REF!</v>
      </c>
      <c r="AE7" s="541" t="e">
        <f t="shared" si="3"/>
        <v>#REF!</v>
      </c>
      <c r="AF7" s="541" t="e">
        <f t="shared" si="3"/>
        <v>#REF!</v>
      </c>
      <c r="AG7" s="541" t="e">
        <f t="shared" si="3"/>
        <v>#REF!</v>
      </c>
      <c r="AH7" s="541" t="e">
        <f t="shared" si="3"/>
        <v>#REF!</v>
      </c>
      <c r="AI7" s="541" t="e">
        <f t="shared" si="3"/>
        <v>#REF!</v>
      </c>
      <c r="AJ7" s="541" t="e">
        <f t="shared" si="3"/>
        <v>#REF!</v>
      </c>
      <c r="AK7" s="541" t="e">
        <f t="shared" si="3"/>
        <v>#REF!</v>
      </c>
      <c r="AL7" s="541" t="e">
        <f t="shared" si="3"/>
        <v>#REF!</v>
      </c>
      <c r="AM7" s="541" t="e">
        <f t="shared" si="3"/>
        <v>#REF!</v>
      </c>
      <c r="AN7" s="541" t="e">
        <f t="shared" si="3"/>
        <v>#REF!</v>
      </c>
      <c r="AO7" s="541" t="e">
        <f t="shared" si="3"/>
        <v>#REF!</v>
      </c>
      <c r="AP7" s="541" t="e">
        <f t="shared" si="3"/>
        <v>#REF!</v>
      </c>
      <c r="AQ7" s="541" t="e">
        <f t="shared" si="3"/>
        <v>#REF!</v>
      </c>
      <c r="AR7" s="541" t="e">
        <f t="shared" si="3"/>
        <v>#REF!</v>
      </c>
      <c r="AS7" s="541" t="e">
        <f t="shared" si="3"/>
        <v>#REF!</v>
      </c>
      <c r="AT7" s="541" t="e">
        <f t="shared" si="3"/>
        <v>#REF!</v>
      </c>
      <c r="AU7" s="541" t="e">
        <f t="shared" si="3"/>
        <v>#REF!</v>
      </c>
      <c r="AV7" s="541" t="e">
        <f t="shared" si="3"/>
        <v>#REF!</v>
      </c>
      <c r="AW7" s="541" t="e">
        <f t="shared" si="3"/>
        <v>#REF!</v>
      </c>
    </row>
    <row r="8" spans="1:53" hidden="1" x14ac:dyDescent="0.2"/>
    <row r="9" spans="1:53" hidden="1" x14ac:dyDescent="0.2"/>
    <row r="10" spans="1:53" hidden="1" x14ac:dyDescent="0.2"/>
    <row r="11" spans="1:53" ht="15" customHeight="1" x14ac:dyDescent="0.2">
      <c r="L11" s="537"/>
      <c r="M11" s="542" t="s">
        <v>952</v>
      </c>
      <c r="N11" s="537"/>
    </row>
    <row r="12" spans="1:53" s="543" customFormat="1" ht="20.100000000000001" customHeight="1" x14ac:dyDescent="0.2">
      <c r="L12" s="544" t="s">
        <v>560</v>
      </c>
      <c r="M12" s="545"/>
      <c r="N12" s="545"/>
      <c r="O12" s="545"/>
      <c r="P12" s="545"/>
      <c r="Q12" s="545"/>
      <c r="R12" s="545"/>
      <c r="S12" s="545"/>
      <c r="T12" s="545"/>
      <c r="U12" s="545"/>
      <c r="V12" s="545"/>
      <c r="W12" s="545"/>
      <c r="X12" s="545"/>
      <c r="Y12" s="545"/>
      <c r="Z12" s="545"/>
      <c r="AA12" s="545"/>
      <c r="AB12" s="545"/>
      <c r="AC12" s="545"/>
      <c r="AD12" s="545"/>
      <c r="AE12" s="545"/>
      <c r="AF12" s="545"/>
      <c r="AG12" s="545"/>
      <c r="AH12" s="545"/>
      <c r="AI12" s="545"/>
      <c r="AJ12" s="545"/>
      <c r="AK12" s="545"/>
      <c r="AL12" s="545"/>
      <c r="AM12" s="545"/>
      <c r="AN12" s="545"/>
      <c r="AO12" s="545"/>
      <c r="AP12" s="545"/>
      <c r="AQ12" s="545"/>
      <c r="AR12" s="545"/>
      <c r="AS12" s="545"/>
      <c r="AT12" s="545"/>
      <c r="AU12" s="545"/>
      <c r="AV12" s="545"/>
      <c r="AW12" s="545"/>
      <c r="AX12" s="545"/>
      <c r="AY12" s="545"/>
      <c r="AZ12" s="545"/>
    </row>
    <row r="13" spans="1:53" s="543" customFormat="1" x14ac:dyDescent="0.2">
      <c r="L13" s="546"/>
      <c r="M13" s="546"/>
      <c r="N13" s="546"/>
      <c r="O13" s="546"/>
      <c r="P13" s="546"/>
      <c r="Q13" s="546"/>
      <c r="R13" s="546"/>
      <c r="S13" s="546"/>
      <c r="T13" s="546"/>
      <c r="U13" s="546"/>
      <c r="V13" s="546"/>
      <c r="W13" s="546"/>
      <c r="X13" s="546"/>
      <c r="Y13" s="546"/>
      <c r="Z13" s="546"/>
      <c r="AA13" s="546"/>
      <c r="AB13" s="546"/>
      <c r="AC13" s="546"/>
      <c r="AD13" s="546"/>
      <c r="AE13" s="546"/>
      <c r="AF13" s="546"/>
      <c r="AG13" s="546"/>
      <c r="AH13" s="546"/>
      <c r="AI13" s="546"/>
      <c r="AJ13" s="546"/>
      <c r="AK13" s="546"/>
      <c r="AL13" s="546"/>
      <c r="AM13" s="546"/>
      <c r="AN13" s="546"/>
      <c r="AO13" s="546"/>
      <c r="AP13" s="546"/>
      <c r="AQ13" s="546"/>
      <c r="AR13" s="546"/>
      <c r="AS13" s="546"/>
      <c r="AT13" s="546"/>
      <c r="AU13" s="546"/>
      <c r="AV13" s="546"/>
      <c r="AW13" s="546"/>
      <c r="AX13" s="546"/>
      <c r="AY13" s="546"/>
      <c r="AZ13" s="546"/>
    </row>
    <row r="14" spans="1:53" s="539" customFormat="1" ht="24.75" customHeight="1" x14ac:dyDescent="0.2">
      <c r="L14" s="631" t="s">
        <v>1</v>
      </c>
      <c r="M14" s="631" t="s">
        <v>440</v>
      </c>
      <c r="N14" s="631" t="s">
        <v>428</v>
      </c>
      <c r="O14" s="547" t="s">
        <v>561</v>
      </c>
      <c r="P14" s="547" t="s">
        <v>561</v>
      </c>
      <c r="Q14" s="547" t="s">
        <v>561</v>
      </c>
      <c r="R14" s="547" t="s">
        <v>561</v>
      </c>
      <c r="S14" s="548" t="s">
        <v>484</v>
      </c>
      <c r="T14" s="549" t="s">
        <v>485</v>
      </c>
      <c r="U14" s="549" t="s">
        <v>486</v>
      </c>
      <c r="V14" s="549" t="s">
        <v>487</v>
      </c>
      <c r="W14" s="549" t="s">
        <v>488</v>
      </c>
      <c r="X14" s="549" t="s">
        <v>516</v>
      </c>
      <c r="Y14" s="549" t="s">
        <v>562</v>
      </c>
      <c r="Z14" s="549" t="s">
        <v>563</v>
      </c>
      <c r="AA14" s="549" t="s">
        <v>564</v>
      </c>
      <c r="AB14" s="549" t="s">
        <v>565</v>
      </c>
      <c r="AC14" s="549" t="s">
        <v>566</v>
      </c>
      <c r="AD14" s="549" t="s">
        <v>485</v>
      </c>
      <c r="AE14" s="549" t="s">
        <v>486</v>
      </c>
      <c r="AF14" s="549" t="s">
        <v>487</v>
      </c>
      <c r="AG14" s="549" t="s">
        <v>488</v>
      </c>
      <c r="AH14" s="549" t="s">
        <v>516</v>
      </c>
      <c r="AI14" s="549" t="s">
        <v>562</v>
      </c>
      <c r="AJ14" s="549" t="s">
        <v>563</v>
      </c>
      <c r="AK14" s="549" t="s">
        <v>564</v>
      </c>
      <c r="AL14" s="549" t="s">
        <v>565</v>
      </c>
      <c r="AM14" s="549" t="s">
        <v>566</v>
      </c>
      <c r="AN14" s="549" t="s">
        <v>485</v>
      </c>
      <c r="AO14" s="549" t="s">
        <v>486</v>
      </c>
      <c r="AP14" s="549" t="s">
        <v>487</v>
      </c>
      <c r="AQ14" s="549" t="s">
        <v>488</v>
      </c>
      <c r="AR14" s="549" t="s">
        <v>516</v>
      </c>
      <c r="AS14" s="549" t="e">
        <f>god+5 &amp; " год"</f>
        <v>#REF!</v>
      </c>
      <c r="AT14" s="549" t="e">
        <f>god+6 &amp; " год"</f>
        <v>#REF!</v>
      </c>
      <c r="AU14" s="549" t="e">
        <f>god+7 &amp; " год"</f>
        <v>#REF!</v>
      </c>
      <c r="AV14" s="549" t="e">
        <f>god+8 &amp; " год"</f>
        <v>#REF!</v>
      </c>
      <c r="AW14" s="549" t="e">
        <f>god+9 &amp; " год"</f>
        <v>#REF!</v>
      </c>
      <c r="AX14" s="632" t="s">
        <v>567</v>
      </c>
      <c r="AY14" s="632" t="s">
        <v>568</v>
      </c>
      <c r="AZ14" s="632" t="s">
        <v>569</v>
      </c>
      <c r="BA14" s="550"/>
    </row>
    <row r="15" spans="1:53" s="539" customFormat="1" ht="45.75" customHeight="1" x14ac:dyDescent="0.2">
      <c r="L15" s="631"/>
      <c r="M15" s="631"/>
      <c r="N15" s="631"/>
      <c r="O15" s="548" t="s">
        <v>570</v>
      </c>
      <c r="P15" s="548" t="s">
        <v>571</v>
      </c>
      <c r="Q15" s="548" t="s">
        <v>572</v>
      </c>
      <c r="R15" s="547" t="s">
        <v>573</v>
      </c>
      <c r="S15" s="548" t="s">
        <v>570</v>
      </c>
      <c r="T15" s="551" t="s">
        <v>574</v>
      </c>
      <c r="U15" s="551" t="s">
        <v>574</v>
      </c>
      <c r="V15" s="551" t="s">
        <v>574</v>
      </c>
      <c r="W15" s="551" t="s">
        <v>574</v>
      </c>
      <c r="X15" s="551" t="s">
        <v>574</v>
      </c>
      <c r="Y15" s="551" t="s">
        <v>574</v>
      </c>
      <c r="Z15" s="551" t="s">
        <v>574</v>
      </c>
      <c r="AA15" s="551" t="s">
        <v>574</v>
      </c>
      <c r="AB15" s="551" t="s">
        <v>574</v>
      </c>
      <c r="AC15" s="551" t="s">
        <v>574</v>
      </c>
      <c r="AD15" s="551" t="s">
        <v>570</v>
      </c>
      <c r="AE15" s="551" t="s">
        <v>570</v>
      </c>
      <c r="AF15" s="551" t="s">
        <v>570</v>
      </c>
      <c r="AG15" s="551" t="s">
        <v>570</v>
      </c>
      <c r="AH15" s="551" t="s">
        <v>570</v>
      </c>
      <c r="AI15" s="551" t="s">
        <v>570</v>
      </c>
      <c r="AJ15" s="551" t="s">
        <v>570</v>
      </c>
      <c r="AK15" s="551" t="s">
        <v>570</v>
      </c>
      <c r="AL15" s="551" t="s">
        <v>570</v>
      </c>
      <c r="AM15" s="551" t="s">
        <v>570</v>
      </c>
      <c r="AN15" s="632" t="s">
        <v>575</v>
      </c>
      <c r="AO15" s="632"/>
      <c r="AP15" s="632"/>
      <c r="AQ15" s="632"/>
      <c r="AR15" s="632"/>
      <c r="AS15" s="632"/>
      <c r="AT15" s="632"/>
      <c r="AU15" s="632"/>
      <c r="AV15" s="632"/>
      <c r="AW15" s="632"/>
      <c r="AX15" s="632"/>
      <c r="AY15" s="632"/>
      <c r="AZ15" s="632"/>
      <c r="BA15" s="550"/>
    </row>
    <row r="16" spans="1:53" s="554" customFormat="1" ht="11.25" hidden="1" x14ac:dyDescent="0.15">
      <c r="A16" s="552" t="str">
        <f>'[12]Общие сведения'!$D$122</f>
        <v>1</v>
      </c>
      <c r="B16" s="553" t="str">
        <f>INDEX('[12]Общие сведения'!$N$121:$N$148,MATCH($A16,'[12]Общие сведения'!$D$121:$D$148,0))</f>
        <v>одноставочный</v>
      </c>
      <c r="D16" s="553" t="str">
        <f>INDEX('[12]Общие сведения'!$H$121:$H$148,MATCH($A16,'[12]Общие сведения'!$D$121:$D$148,0))</f>
        <v>Водоснабжение</v>
      </c>
      <c r="L16" s="555" t="str">
        <f>INDEX('[12]Общие сведения'!$J$121:$J$148,MATCH($A16,'[12]Общие сведения'!$D$121:$D$148,0))</f>
        <v>Тариф 1 (Водоснабжение) - тариф на питьевую воду (Оказание услуг на территории: Среднетойменское (ОКТМО: 33610420) - д Средняя Тойма)</v>
      </c>
      <c r="M16" s="556"/>
      <c r="N16" s="556"/>
      <c r="O16" s="556"/>
      <c r="P16" s="556"/>
      <c r="Q16" s="556"/>
      <c r="R16" s="556"/>
      <c r="S16" s="556"/>
      <c r="T16" s="556"/>
      <c r="U16" s="556"/>
      <c r="V16" s="556"/>
      <c r="W16" s="556"/>
      <c r="X16" s="556"/>
      <c r="Y16" s="556"/>
      <c r="Z16" s="556"/>
      <c r="AA16" s="556"/>
      <c r="AB16" s="556"/>
      <c r="AC16" s="556"/>
      <c r="AD16" s="556"/>
      <c r="AE16" s="556"/>
      <c r="AF16" s="556"/>
      <c r="AG16" s="556"/>
      <c r="AH16" s="556"/>
      <c r="AI16" s="556"/>
      <c r="AJ16" s="556"/>
      <c r="AK16" s="556"/>
      <c r="AL16" s="556"/>
      <c r="AM16" s="556"/>
      <c r="AN16" s="556"/>
      <c r="AO16" s="556"/>
      <c r="AP16" s="556"/>
      <c r="AQ16" s="556"/>
      <c r="AR16" s="556"/>
      <c r="AS16" s="556"/>
      <c r="AT16" s="556"/>
      <c r="AU16" s="556"/>
      <c r="AV16" s="556"/>
      <c r="AW16" s="556"/>
      <c r="AX16" s="556"/>
      <c r="AY16" s="556"/>
      <c r="AZ16" s="556"/>
    </row>
    <row r="17" spans="1:53" s="558" customFormat="1" ht="11.25" hidden="1" outlineLevel="1" x14ac:dyDescent="0.2">
      <c r="A17" s="557" t="str">
        <f>A16</f>
        <v>1</v>
      </c>
      <c r="C17" s="559"/>
      <c r="D17" s="559" t="s">
        <v>576</v>
      </c>
      <c r="L17" s="560" t="s">
        <v>441</v>
      </c>
      <c r="M17" s="561" t="s">
        <v>30</v>
      </c>
      <c r="N17" s="562" t="s">
        <v>106</v>
      </c>
      <c r="O17" s="563">
        <v>2281.73</v>
      </c>
      <c r="P17" s="563">
        <v>1903.1005999999998</v>
      </c>
      <c r="Q17" s="563">
        <v>2277.5756389669241</v>
      </c>
      <c r="R17" s="563">
        <v>374.47503896692433</v>
      </c>
      <c r="S17" s="563">
        <v>2365.08</v>
      </c>
      <c r="T17" s="563">
        <v>4918.7854719175202</v>
      </c>
      <c r="U17" s="564">
        <v>5064.3815218862792</v>
      </c>
      <c r="V17" s="564">
        <v>5214.2872149341138</v>
      </c>
      <c r="W17" s="564">
        <v>5368.6301164961642</v>
      </c>
      <c r="X17" s="564">
        <v>5527.5415679444513</v>
      </c>
      <c r="Y17" s="564">
        <v>5527.5415679444513</v>
      </c>
      <c r="Z17" s="564">
        <v>5527.5415679444513</v>
      </c>
      <c r="AA17" s="564">
        <v>5527.5415679444513</v>
      </c>
      <c r="AB17" s="564">
        <v>5527.5415679444513</v>
      </c>
      <c r="AC17" s="564">
        <v>5527.5415679444513</v>
      </c>
      <c r="AD17" s="563">
        <v>2759.1293535671221</v>
      </c>
      <c r="AE17" s="564">
        <v>2848.99</v>
      </c>
      <c r="AF17" s="564">
        <v>2933.32</v>
      </c>
      <c r="AG17" s="564">
        <v>3020.1500000000005</v>
      </c>
      <c r="AH17" s="564">
        <v>3109.55</v>
      </c>
      <c r="AI17" s="564" t="e">
        <f t="shared" ref="AI17:AM17" si="4">AH17*AI18</f>
        <v>#REF!</v>
      </c>
      <c r="AJ17" s="564" t="e">
        <f t="shared" si="4"/>
        <v>#REF!</v>
      </c>
      <c r="AK17" s="564" t="e">
        <f t="shared" si="4"/>
        <v>#REF!</v>
      </c>
      <c r="AL17" s="564" t="e">
        <f t="shared" si="4"/>
        <v>#REF!</v>
      </c>
      <c r="AM17" s="564" t="e">
        <f t="shared" si="4"/>
        <v>#REF!</v>
      </c>
      <c r="AN17" s="563">
        <f>IF(S17=0,0,(AD17-S17)/S17*100)</f>
        <v>16.66114269145746</v>
      </c>
      <c r="AO17" s="563">
        <f t="shared" ref="AO17:AW17" si="5">IF(AD17=0,0,(AE17-AD17)/AD17*100)</f>
        <v>3.2568479008315427</v>
      </c>
      <c r="AP17" s="563">
        <f t="shared" si="5"/>
        <v>2.95999634958355</v>
      </c>
      <c r="AQ17" s="563">
        <f t="shared" si="5"/>
        <v>2.9601270914867923</v>
      </c>
      <c r="AR17" s="563">
        <f t="shared" si="5"/>
        <v>2.9601178749399737</v>
      </c>
      <c r="AS17" s="563" t="e">
        <f t="shared" si="5"/>
        <v>#REF!</v>
      </c>
      <c r="AT17" s="563" t="e">
        <f t="shared" si="5"/>
        <v>#REF!</v>
      </c>
      <c r="AU17" s="563" t="e">
        <f t="shared" si="5"/>
        <v>#REF!</v>
      </c>
      <c r="AV17" s="563" t="e">
        <f t="shared" si="5"/>
        <v>#REF!</v>
      </c>
      <c r="AW17" s="563" t="e">
        <f t="shared" si="5"/>
        <v>#REF!</v>
      </c>
      <c r="AX17" s="565"/>
      <c r="AY17" s="565"/>
      <c r="AZ17" s="565"/>
      <c r="BA17" s="566"/>
    </row>
    <row r="18" spans="1:53" ht="11.25" hidden="1" outlineLevel="1" x14ac:dyDescent="0.2">
      <c r="A18" s="557" t="str">
        <f t="shared" ref="A18:A81" si="6">A17</f>
        <v>1</v>
      </c>
      <c r="C18" s="567"/>
      <c r="D18" s="567" t="s">
        <v>577</v>
      </c>
      <c r="L18" s="568" t="s">
        <v>18</v>
      </c>
      <c r="M18" s="569" t="s">
        <v>578</v>
      </c>
      <c r="N18" s="570"/>
      <c r="O18" s="571"/>
      <c r="P18" s="571"/>
      <c r="Q18" s="571"/>
      <c r="R18" s="572">
        <v>0</v>
      </c>
      <c r="S18" s="571"/>
      <c r="T18" s="571"/>
      <c r="U18" s="571">
        <v>1.0296000000000001</v>
      </c>
      <c r="V18" s="571">
        <v>1.0296000000000001</v>
      </c>
      <c r="W18" s="571">
        <v>1.0296000000000001</v>
      </c>
      <c r="X18" s="571">
        <v>1.0296000000000001</v>
      </c>
      <c r="Y18" s="571">
        <v>1</v>
      </c>
      <c r="Z18" s="571">
        <v>1</v>
      </c>
      <c r="AA18" s="571">
        <v>1</v>
      </c>
      <c r="AB18" s="571">
        <v>1</v>
      </c>
      <c r="AC18" s="571">
        <v>1</v>
      </c>
      <c r="AD18" s="571"/>
      <c r="AE18" s="571">
        <v>1.0325684790083154</v>
      </c>
      <c r="AF18" s="571">
        <v>1.0295999634958355</v>
      </c>
      <c r="AG18" s="571">
        <v>1.0296012709148679</v>
      </c>
      <c r="AH18" s="571">
        <v>1.0296011787493997</v>
      </c>
      <c r="AI18" s="571" t="e">
        <f>SUMIFS(INDEX([12]Сценарии!$O$15:$AP$53,,MATCH(AI$3,[12]Сценарии!$O$3:$AP$3,0)),[12]Сценарии!$A$15:$A$53,$A18,[12]Сценарии!$B$15:$B$53,"ИОР")</f>
        <v>#REF!</v>
      </c>
      <c r="AJ18" s="571" t="e">
        <f>SUMIFS(INDEX([12]Сценарии!$O$15:$AP$53,,MATCH(AJ$3,[12]Сценарии!$O$3:$AP$3,0)),[12]Сценарии!$A$15:$A$53,$A18,[12]Сценарии!$B$15:$B$53,"ИОР")</f>
        <v>#REF!</v>
      </c>
      <c r="AK18" s="571" t="e">
        <f>SUMIFS(INDEX([12]Сценарии!$O$15:$AP$53,,MATCH(AK$3,[12]Сценарии!$O$3:$AP$3,0)),[12]Сценарии!$A$15:$A$53,$A18,[12]Сценарии!$B$15:$B$53,"ИОР")</f>
        <v>#REF!</v>
      </c>
      <c r="AL18" s="571" t="e">
        <f>SUMIFS(INDEX([12]Сценарии!$O$15:$AP$53,,MATCH(AL$3,[12]Сценарии!$O$3:$AP$3,0)),[12]Сценарии!$A$15:$A$53,$A18,[12]Сценарии!$B$15:$B$53,"ИОР")</f>
        <v>#REF!</v>
      </c>
      <c r="AM18" s="571" t="e">
        <f>SUMIFS(INDEX([12]Сценарии!$O$15:$AP$53,,MATCH(AM$3,[12]Сценарии!$O$3:$AP$3,0)),[12]Сценарии!$A$15:$A$53,$A18,[12]Сценарии!$B$15:$B$53,"ИОР")</f>
        <v>#REF!</v>
      </c>
      <c r="AN18" s="573">
        <f>IF(S18=0,0,(AD18-S18)/S18*100)</f>
        <v>0</v>
      </c>
      <c r="AO18" s="574"/>
      <c r="AP18" s="574"/>
      <c r="AQ18" s="574"/>
      <c r="AR18" s="574"/>
      <c r="AS18" s="574"/>
      <c r="AT18" s="574"/>
      <c r="AU18" s="574"/>
      <c r="AV18" s="574"/>
      <c r="AW18" s="574"/>
      <c r="AX18" s="565"/>
      <c r="AY18" s="565"/>
      <c r="AZ18" s="565"/>
    </row>
    <row r="19" spans="1:53" s="566" customFormat="1" ht="11.25" hidden="1" outlineLevel="1" x14ac:dyDescent="0.2">
      <c r="A19" s="557" t="str">
        <f t="shared" si="6"/>
        <v>1</v>
      </c>
      <c r="C19" s="559"/>
      <c r="D19" s="559" t="s">
        <v>579</v>
      </c>
      <c r="L19" s="560" t="s">
        <v>20</v>
      </c>
      <c r="M19" s="575" t="s">
        <v>580</v>
      </c>
      <c r="N19" s="562" t="s">
        <v>106</v>
      </c>
      <c r="O19" s="563">
        <v>2281.13</v>
      </c>
      <c r="P19" s="563">
        <v>1227.8761799999997</v>
      </c>
      <c r="Q19" s="563">
        <v>2276.9767302441569</v>
      </c>
      <c r="R19" s="563">
        <v>1049.1005502441571</v>
      </c>
      <c r="S19" s="563">
        <v>2364.46</v>
      </c>
      <c r="T19" s="563">
        <v>3132.8495956152001</v>
      </c>
      <c r="U19" s="576"/>
      <c r="V19" s="576"/>
      <c r="W19" s="576"/>
      <c r="X19" s="576"/>
      <c r="Y19" s="576"/>
      <c r="Z19" s="576"/>
      <c r="AA19" s="576"/>
      <c r="AB19" s="576"/>
      <c r="AC19" s="576"/>
      <c r="AD19" s="563">
        <v>1946.3470485635944</v>
      </c>
      <c r="AE19" s="576"/>
      <c r="AF19" s="576"/>
      <c r="AG19" s="576"/>
      <c r="AH19" s="576"/>
      <c r="AI19" s="576"/>
      <c r="AJ19" s="576"/>
      <c r="AK19" s="576"/>
      <c r="AL19" s="576"/>
      <c r="AM19" s="576"/>
      <c r="AN19" s="563">
        <f>IF(S19=0,0,(AD19-S19)/S19*100)</f>
        <v>-17.683232172944589</v>
      </c>
      <c r="AO19" s="576"/>
      <c r="AP19" s="576"/>
      <c r="AQ19" s="576"/>
      <c r="AR19" s="576"/>
      <c r="AS19" s="576"/>
      <c r="AT19" s="576"/>
      <c r="AU19" s="576"/>
      <c r="AV19" s="576"/>
      <c r="AW19" s="576"/>
      <c r="AX19" s="577"/>
      <c r="AY19" s="577"/>
      <c r="AZ19" s="577"/>
    </row>
    <row r="20" spans="1:53" ht="11.25" hidden="1" outlineLevel="1" x14ac:dyDescent="0.2">
      <c r="A20" s="557" t="str">
        <f t="shared" si="6"/>
        <v>1</v>
      </c>
      <c r="C20" s="567"/>
      <c r="D20" s="567" t="s">
        <v>581</v>
      </c>
      <c r="L20" s="568" t="s">
        <v>399</v>
      </c>
      <c r="M20" s="578" t="s">
        <v>582</v>
      </c>
      <c r="N20" s="579" t="s">
        <v>106</v>
      </c>
      <c r="O20" s="573">
        <v>0</v>
      </c>
      <c r="P20" s="573">
        <v>0</v>
      </c>
      <c r="Q20" s="573">
        <v>0</v>
      </c>
      <c r="R20" s="573">
        <v>0</v>
      </c>
      <c r="S20" s="573">
        <v>0</v>
      </c>
      <c r="T20" s="573">
        <v>73.91</v>
      </c>
      <c r="U20" s="574"/>
      <c r="V20" s="574"/>
      <c r="W20" s="574"/>
      <c r="X20" s="574"/>
      <c r="Y20" s="574"/>
      <c r="Z20" s="574"/>
      <c r="AA20" s="574"/>
      <c r="AB20" s="574"/>
      <c r="AC20" s="574"/>
      <c r="AD20" s="573">
        <v>73.91</v>
      </c>
      <c r="AE20" s="574"/>
      <c r="AF20" s="574"/>
      <c r="AG20" s="574"/>
      <c r="AH20" s="574"/>
      <c r="AI20" s="574"/>
      <c r="AJ20" s="574"/>
      <c r="AK20" s="574"/>
      <c r="AL20" s="574"/>
      <c r="AM20" s="574"/>
      <c r="AN20" s="573">
        <f t="shared" ref="AN20:AN90" si="7">IF(S20=0,0,(AD20-S20)/S20*100)</f>
        <v>0</v>
      </c>
      <c r="AO20" s="574"/>
      <c r="AP20" s="574"/>
      <c r="AQ20" s="574"/>
      <c r="AR20" s="574"/>
      <c r="AS20" s="574"/>
      <c r="AT20" s="574"/>
      <c r="AU20" s="574"/>
      <c r="AV20" s="574"/>
      <c r="AW20" s="574"/>
      <c r="AX20" s="565"/>
      <c r="AY20" s="565"/>
      <c r="AZ20" s="565"/>
      <c r="BA20" s="580"/>
    </row>
    <row r="21" spans="1:53" ht="12.75" hidden="1" outlineLevel="1" x14ac:dyDescent="0.2">
      <c r="A21" s="557" t="str">
        <f t="shared" si="6"/>
        <v>1</v>
      </c>
      <c r="C21" s="567"/>
      <c r="D21" s="567" t="s">
        <v>583</v>
      </c>
      <c r="L21" s="568" t="s">
        <v>584</v>
      </c>
      <c r="M21" s="581" t="s">
        <v>585</v>
      </c>
      <c r="N21" s="582" t="s">
        <v>106</v>
      </c>
      <c r="O21" s="583"/>
      <c r="P21" s="583"/>
      <c r="Q21" s="583"/>
      <c r="R21" s="573">
        <v>0</v>
      </c>
      <c r="S21" s="583"/>
      <c r="T21" s="583">
        <v>73.91</v>
      </c>
      <c r="U21" s="574"/>
      <c r="V21" s="574"/>
      <c r="W21" s="574"/>
      <c r="X21" s="574"/>
      <c r="Y21" s="574"/>
      <c r="Z21" s="574"/>
      <c r="AA21" s="574"/>
      <c r="AB21" s="574"/>
      <c r="AC21" s="574"/>
      <c r="AD21" s="583">
        <v>73.91</v>
      </c>
      <c r="AE21" s="574"/>
      <c r="AF21" s="574"/>
      <c r="AG21" s="574"/>
      <c r="AH21" s="574"/>
      <c r="AI21" s="574"/>
      <c r="AJ21" s="574"/>
      <c r="AK21" s="574"/>
      <c r="AL21" s="574"/>
      <c r="AM21" s="574"/>
      <c r="AN21" s="573">
        <f t="shared" si="7"/>
        <v>0</v>
      </c>
      <c r="AO21" s="574"/>
      <c r="AP21" s="574"/>
      <c r="AQ21" s="574"/>
      <c r="AR21" s="574"/>
      <c r="AS21" s="574"/>
      <c r="AT21" s="574"/>
      <c r="AU21" s="574"/>
      <c r="AV21" s="574"/>
      <c r="AW21" s="574"/>
      <c r="AX21" s="565"/>
      <c r="AY21" s="565"/>
      <c r="AZ21" s="565"/>
    </row>
    <row r="22" spans="1:53" ht="12.75" hidden="1" outlineLevel="1" x14ac:dyDescent="0.2">
      <c r="A22" s="557" t="str">
        <f t="shared" si="6"/>
        <v>1</v>
      </c>
      <c r="C22" s="567"/>
      <c r="D22" s="567" t="s">
        <v>586</v>
      </c>
      <c r="L22" s="568" t="s">
        <v>587</v>
      </c>
      <c r="M22" s="584" t="s">
        <v>588</v>
      </c>
      <c r="N22" s="582" t="s">
        <v>106</v>
      </c>
      <c r="O22" s="583"/>
      <c r="P22" s="583"/>
      <c r="Q22" s="583"/>
      <c r="R22" s="573">
        <v>0</v>
      </c>
      <c r="S22" s="583"/>
      <c r="T22" s="583"/>
      <c r="U22" s="574"/>
      <c r="V22" s="574"/>
      <c r="W22" s="574"/>
      <c r="X22" s="574"/>
      <c r="Y22" s="574"/>
      <c r="Z22" s="574"/>
      <c r="AA22" s="574"/>
      <c r="AB22" s="574"/>
      <c r="AC22" s="574"/>
      <c r="AD22" s="583"/>
      <c r="AE22" s="574"/>
      <c r="AF22" s="574"/>
      <c r="AG22" s="574"/>
      <c r="AH22" s="574"/>
      <c r="AI22" s="574"/>
      <c r="AJ22" s="574"/>
      <c r="AK22" s="574"/>
      <c r="AL22" s="574"/>
      <c r="AM22" s="574"/>
      <c r="AN22" s="573">
        <f t="shared" si="7"/>
        <v>0</v>
      </c>
      <c r="AO22" s="574"/>
      <c r="AP22" s="574"/>
      <c r="AQ22" s="574"/>
      <c r="AR22" s="574"/>
      <c r="AS22" s="574"/>
      <c r="AT22" s="574"/>
      <c r="AU22" s="574"/>
      <c r="AV22" s="574"/>
      <c r="AW22" s="574"/>
      <c r="AX22" s="565"/>
      <c r="AY22" s="565"/>
      <c r="AZ22" s="565"/>
    </row>
    <row r="23" spans="1:53" ht="22.5" hidden="1" outlineLevel="1" x14ac:dyDescent="0.2">
      <c r="A23" s="557" t="str">
        <f t="shared" si="6"/>
        <v>1</v>
      </c>
      <c r="C23" s="567"/>
      <c r="D23" s="567" t="s">
        <v>589</v>
      </c>
      <c r="L23" s="568" t="s">
        <v>401</v>
      </c>
      <c r="M23" s="578" t="s">
        <v>590</v>
      </c>
      <c r="N23" s="579" t="s">
        <v>106</v>
      </c>
      <c r="O23" s="583"/>
      <c r="P23" s="583"/>
      <c r="Q23" s="583"/>
      <c r="R23" s="573">
        <v>0</v>
      </c>
      <c r="S23" s="583"/>
      <c r="T23" s="583"/>
      <c r="U23" s="574"/>
      <c r="V23" s="574"/>
      <c r="W23" s="574"/>
      <c r="X23" s="574"/>
      <c r="Y23" s="574"/>
      <c r="Z23" s="574"/>
      <c r="AA23" s="574"/>
      <c r="AB23" s="574"/>
      <c r="AC23" s="574"/>
      <c r="AD23" s="583"/>
      <c r="AE23" s="574"/>
      <c r="AF23" s="574"/>
      <c r="AG23" s="574"/>
      <c r="AH23" s="574"/>
      <c r="AI23" s="574"/>
      <c r="AJ23" s="574"/>
      <c r="AK23" s="574"/>
      <c r="AL23" s="574"/>
      <c r="AM23" s="574"/>
      <c r="AN23" s="573">
        <f t="shared" si="7"/>
        <v>0</v>
      </c>
      <c r="AO23" s="574"/>
      <c r="AP23" s="574"/>
      <c r="AQ23" s="574"/>
      <c r="AR23" s="574"/>
      <c r="AS23" s="574"/>
      <c r="AT23" s="574"/>
      <c r="AU23" s="574"/>
      <c r="AV23" s="574"/>
      <c r="AW23" s="574"/>
      <c r="AX23" s="565"/>
      <c r="AY23" s="565"/>
      <c r="AZ23" s="565"/>
    </row>
    <row r="24" spans="1:53" ht="22.5" hidden="1" outlineLevel="1" x14ac:dyDescent="0.2">
      <c r="A24" s="557" t="str">
        <f t="shared" si="6"/>
        <v>1</v>
      </c>
      <c r="C24" s="567"/>
      <c r="D24" s="567" t="s">
        <v>591</v>
      </c>
      <c r="L24" s="568" t="s">
        <v>592</v>
      </c>
      <c r="M24" s="578" t="s">
        <v>593</v>
      </c>
      <c r="N24" s="582" t="s">
        <v>106</v>
      </c>
      <c r="O24" s="585">
        <v>1684.23</v>
      </c>
      <c r="P24" s="585">
        <v>1164.7561799999999</v>
      </c>
      <c r="Q24" s="585">
        <v>1681.1667302441567</v>
      </c>
      <c r="R24" s="573">
        <v>516.41055024415687</v>
      </c>
      <c r="S24" s="585">
        <v>1745.75</v>
      </c>
      <c r="T24" s="585">
        <v>2909.0375956152002</v>
      </c>
      <c r="U24" s="574"/>
      <c r="V24" s="574"/>
      <c r="W24" s="574"/>
      <c r="X24" s="574"/>
      <c r="Y24" s="574"/>
      <c r="Z24" s="574"/>
      <c r="AA24" s="574"/>
      <c r="AB24" s="574"/>
      <c r="AC24" s="574"/>
      <c r="AD24" s="585">
        <v>1635.3470485635944</v>
      </c>
      <c r="AE24" s="574"/>
      <c r="AF24" s="574"/>
      <c r="AG24" s="574"/>
      <c r="AH24" s="574"/>
      <c r="AI24" s="574"/>
      <c r="AJ24" s="574"/>
      <c r="AK24" s="574"/>
      <c r="AL24" s="574"/>
      <c r="AM24" s="574"/>
      <c r="AN24" s="573">
        <f>IF(S24=0,0,(AD24-S24)/S24*100)</f>
        <v>-6.324098607269403</v>
      </c>
      <c r="AO24" s="574"/>
      <c r="AP24" s="574"/>
      <c r="AQ24" s="574"/>
      <c r="AR24" s="574"/>
      <c r="AS24" s="574"/>
      <c r="AT24" s="574"/>
      <c r="AU24" s="574"/>
      <c r="AV24" s="574"/>
      <c r="AW24" s="574"/>
      <c r="AX24" s="565"/>
      <c r="AY24" s="565"/>
      <c r="AZ24" s="565"/>
    </row>
    <row r="25" spans="1:53" ht="12.75" hidden="1" outlineLevel="1" x14ac:dyDescent="0.2">
      <c r="A25" s="557" t="str">
        <f t="shared" si="6"/>
        <v>1</v>
      </c>
      <c r="B25" s="586" t="s">
        <v>594</v>
      </c>
      <c r="C25" s="567"/>
      <c r="D25" s="567" t="s">
        <v>595</v>
      </c>
      <c r="L25" s="568" t="s">
        <v>596</v>
      </c>
      <c r="M25" s="581" t="s">
        <v>597</v>
      </c>
      <c r="N25" s="579" t="s">
        <v>106</v>
      </c>
      <c r="O25" s="587">
        <v>1684.23</v>
      </c>
      <c r="P25" s="587">
        <v>894.58999999999992</v>
      </c>
      <c r="Q25" s="587">
        <v>1681.1667302441567</v>
      </c>
      <c r="R25" s="573">
        <v>786.57673024415681</v>
      </c>
      <c r="S25" s="587">
        <v>1745.75</v>
      </c>
      <c r="T25" s="587">
        <v>2234.2838676000001</v>
      </c>
      <c r="U25" s="574"/>
      <c r="V25" s="574"/>
      <c r="W25" s="574"/>
      <c r="X25" s="574"/>
      <c r="Y25" s="574"/>
      <c r="Z25" s="574"/>
      <c r="AA25" s="574"/>
      <c r="AB25" s="574"/>
      <c r="AC25" s="574"/>
      <c r="AD25" s="587">
        <v>1256.0269613966379</v>
      </c>
      <c r="AE25" s="574"/>
      <c r="AF25" s="574"/>
      <c r="AG25" s="574"/>
      <c r="AH25" s="574"/>
      <c r="AI25" s="574"/>
      <c r="AJ25" s="574"/>
      <c r="AK25" s="574"/>
      <c r="AL25" s="574"/>
      <c r="AM25" s="574"/>
      <c r="AN25" s="573">
        <f>IF(S25=0,0,(AD25-S25)/S25*100)</f>
        <v>-28.05230065034295</v>
      </c>
      <c r="AO25" s="574"/>
      <c r="AP25" s="574"/>
      <c r="AQ25" s="574"/>
      <c r="AR25" s="574"/>
      <c r="AS25" s="574"/>
      <c r="AT25" s="574"/>
      <c r="AU25" s="574"/>
      <c r="AV25" s="574"/>
      <c r="AW25" s="574"/>
      <c r="AX25" s="565"/>
      <c r="AY25" s="565"/>
      <c r="AZ25" s="565"/>
    </row>
    <row r="26" spans="1:53" ht="25.5" hidden="1" outlineLevel="1" x14ac:dyDescent="0.2">
      <c r="A26" s="557" t="str">
        <f t="shared" si="6"/>
        <v>1</v>
      </c>
      <c r="B26" s="586" t="s">
        <v>598</v>
      </c>
      <c r="C26" s="567"/>
      <c r="D26" s="567" t="s">
        <v>599</v>
      </c>
      <c r="L26" s="568" t="s">
        <v>600</v>
      </c>
      <c r="M26" s="581" t="s">
        <v>601</v>
      </c>
      <c r="N26" s="582" t="s">
        <v>106</v>
      </c>
      <c r="O26" s="587">
        <v>0</v>
      </c>
      <c r="P26" s="587">
        <v>270.16618</v>
      </c>
      <c r="Q26" s="587">
        <v>0</v>
      </c>
      <c r="R26" s="573">
        <v>-270.16618</v>
      </c>
      <c r="S26" s="587">
        <v>0</v>
      </c>
      <c r="T26" s="587">
        <v>674.75372801520007</v>
      </c>
      <c r="U26" s="574"/>
      <c r="V26" s="574"/>
      <c r="W26" s="574"/>
      <c r="X26" s="574"/>
      <c r="Y26" s="574"/>
      <c r="Z26" s="574"/>
      <c r="AA26" s="574"/>
      <c r="AB26" s="574"/>
      <c r="AC26" s="574"/>
      <c r="AD26" s="587">
        <v>379.32008716695657</v>
      </c>
      <c r="AE26" s="574"/>
      <c r="AF26" s="574"/>
      <c r="AG26" s="574"/>
      <c r="AH26" s="574"/>
      <c r="AI26" s="574"/>
      <c r="AJ26" s="574"/>
      <c r="AK26" s="574"/>
      <c r="AL26" s="574"/>
      <c r="AM26" s="574"/>
      <c r="AN26" s="573">
        <f>IF(S26=0,0,(AD26-S26)/S26*100)</f>
        <v>0</v>
      </c>
      <c r="AO26" s="574"/>
      <c r="AP26" s="574"/>
      <c r="AQ26" s="574"/>
      <c r="AR26" s="574"/>
      <c r="AS26" s="574"/>
      <c r="AT26" s="574"/>
      <c r="AU26" s="574"/>
      <c r="AV26" s="574"/>
      <c r="AW26" s="574"/>
      <c r="AX26" s="565"/>
      <c r="AY26" s="565"/>
      <c r="AZ26" s="565"/>
    </row>
    <row r="27" spans="1:53" ht="11.25" hidden="1" outlineLevel="1" x14ac:dyDescent="0.2">
      <c r="A27" s="557" t="str">
        <f t="shared" si="6"/>
        <v>1</v>
      </c>
      <c r="C27" s="567"/>
      <c r="D27" s="567" t="s">
        <v>602</v>
      </c>
      <c r="L27" s="568" t="s">
        <v>603</v>
      </c>
      <c r="M27" s="578" t="s">
        <v>604</v>
      </c>
      <c r="N27" s="579" t="s">
        <v>106</v>
      </c>
      <c r="O27" s="583"/>
      <c r="P27" s="583"/>
      <c r="Q27" s="583"/>
      <c r="R27" s="573">
        <v>0</v>
      </c>
      <c r="S27" s="583"/>
      <c r="T27" s="583"/>
      <c r="U27" s="574"/>
      <c r="V27" s="574"/>
      <c r="W27" s="574"/>
      <c r="X27" s="574"/>
      <c r="Y27" s="574"/>
      <c r="Z27" s="574"/>
      <c r="AA27" s="574"/>
      <c r="AB27" s="574"/>
      <c r="AC27" s="574"/>
      <c r="AD27" s="583"/>
      <c r="AE27" s="574"/>
      <c r="AF27" s="574"/>
      <c r="AG27" s="574"/>
      <c r="AH27" s="574"/>
      <c r="AI27" s="574"/>
      <c r="AJ27" s="574"/>
      <c r="AK27" s="574"/>
      <c r="AL27" s="574"/>
      <c r="AM27" s="574"/>
      <c r="AN27" s="573">
        <f t="shared" si="7"/>
        <v>0</v>
      </c>
      <c r="AO27" s="574"/>
      <c r="AP27" s="574"/>
      <c r="AQ27" s="574"/>
      <c r="AR27" s="574"/>
      <c r="AS27" s="574"/>
      <c r="AT27" s="574"/>
      <c r="AU27" s="574"/>
      <c r="AV27" s="574"/>
      <c r="AW27" s="574"/>
      <c r="AX27" s="565"/>
      <c r="AY27" s="565"/>
      <c r="AZ27" s="565"/>
    </row>
    <row r="28" spans="1:53" ht="12.75" hidden="1" outlineLevel="1" x14ac:dyDescent="0.2">
      <c r="A28" s="557" t="str">
        <f t="shared" si="6"/>
        <v>1</v>
      </c>
      <c r="C28" s="567"/>
      <c r="D28" s="567" t="s">
        <v>605</v>
      </c>
      <c r="L28" s="568" t="s">
        <v>606</v>
      </c>
      <c r="M28" s="588" t="s">
        <v>607</v>
      </c>
      <c r="N28" s="570" t="s">
        <v>106</v>
      </c>
      <c r="O28" s="585">
        <v>596.90000000000009</v>
      </c>
      <c r="P28" s="585">
        <v>63.12</v>
      </c>
      <c r="Q28" s="585">
        <v>595.80999999999995</v>
      </c>
      <c r="R28" s="573">
        <v>532.68999999999994</v>
      </c>
      <c r="S28" s="585">
        <v>618.71</v>
      </c>
      <c r="T28" s="585">
        <v>149.90200000000002</v>
      </c>
      <c r="U28" s="574"/>
      <c r="V28" s="574"/>
      <c r="W28" s="574"/>
      <c r="X28" s="574"/>
      <c r="Y28" s="574"/>
      <c r="Z28" s="574"/>
      <c r="AA28" s="574"/>
      <c r="AB28" s="574"/>
      <c r="AC28" s="574"/>
      <c r="AD28" s="585">
        <v>237.09</v>
      </c>
      <c r="AE28" s="574"/>
      <c r="AF28" s="574"/>
      <c r="AG28" s="574"/>
      <c r="AH28" s="574"/>
      <c r="AI28" s="574"/>
      <c r="AJ28" s="574"/>
      <c r="AK28" s="574"/>
      <c r="AL28" s="574"/>
      <c r="AM28" s="574"/>
      <c r="AN28" s="573">
        <f t="shared" si="7"/>
        <v>-61.679946986471847</v>
      </c>
      <c r="AO28" s="574"/>
      <c r="AP28" s="574"/>
      <c r="AQ28" s="574"/>
      <c r="AR28" s="574"/>
      <c r="AS28" s="574"/>
      <c r="AT28" s="574"/>
      <c r="AU28" s="574"/>
      <c r="AV28" s="574"/>
      <c r="AW28" s="574"/>
      <c r="AX28" s="565"/>
      <c r="AY28" s="565"/>
      <c r="AZ28" s="565"/>
    </row>
    <row r="29" spans="1:53" ht="11.25" hidden="1" outlineLevel="1" x14ac:dyDescent="0.2">
      <c r="A29" s="557" t="str">
        <f t="shared" si="6"/>
        <v>1</v>
      </c>
      <c r="C29" s="567"/>
      <c r="D29" s="567" t="s">
        <v>608</v>
      </c>
      <c r="L29" s="568" t="s">
        <v>609</v>
      </c>
      <c r="M29" s="584" t="s">
        <v>610</v>
      </c>
      <c r="N29" s="570" t="s">
        <v>106</v>
      </c>
      <c r="O29" s="583"/>
      <c r="P29" s="583"/>
      <c r="Q29" s="583"/>
      <c r="R29" s="573">
        <v>0</v>
      </c>
      <c r="S29" s="583"/>
      <c r="T29" s="583"/>
      <c r="U29" s="574"/>
      <c r="V29" s="574"/>
      <c r="W29" s="574"/>
      <c r="X29" s="574"/>
      <c r="Y29" s="574"/>
      <c r="Z29" s="574"/>
      <c r="AA29" s="574"/>
      <c r="AB29" s="574"/>
      <c r="AC29" s="574"/>
      <c r="AD29" s="583"/>
      <c r="AE29" s="574"/>
      <c r="AF29" s="574"/>
      <c r="AG29" s="574"/>
      <c r="AH29" s="574"/>
      <c r="AI29" s="574"/>
      <c r="AJ29" s="574"/>
      <c r="AK29" s="574"/>
      <c r="AL29" s="574"/>
      <c r="AM29" s="574"/>
      <c r="AN29" s="573">
        <f t="shared" si="7"/>
        <v>0</v>
      </c>
      <c r="AO29" s="574"/>
      <c r="AP29" s="574"/>
      <c r="AQ29" s="574"/>
      <c r="AR29" s="574"/>
      <c r="AS29" s="574"/>
      <c r="AT29" s="574"/>
      <c r="AU29" s="574"/>
      <c r="AV29" s="574"/>
      <c r="AW29" s="574"/>
      <c r="AX29" s="565"/>
      <c r="AY29" s="565"/>
      <c r="AZ29" s="565"/>
    </row>
    <row r="30" spans="1:53" ht="22.5" hidden="1" outlineLevel="1" x14ac:dyDescent="0.2">
      <c r="A30" s="557" t="str">
        <f t="shared" si="6"/>
        <v>1</v>
      </c>
      <c r="C30" s="567"/>
      <c r="D30" s="567" t="s">
        <v>611</v>
      </c>
      <c r="L30" s="568" t="s">
        <v>612</v>
      </c>
      <c r="M30" s="584" t="s">
        <v>613</v>
      </c>
      <c r="N30" s="570" t="s">
        <v>106</v>
      </c>
      <c r="O30" s="583"/>
      <c r="P30" s="583"/>
      <c r="Q30" s="583"/>
      <c r="R30" s="573">
        <v>0</v>
      </c>
      <c r="S30" s="583"/>
      <c r="T30" s="583"/>
      <c r="U30" s="574"/>
      <c r="V30" s="574"/>
      <c r="W30" s="574"/>
      <c r="X30" s="574"/>
      <c r="Y30" s="574"/>
      <c r="Z30" s="574"/>
      <c r="AA30" s="574"/>
      <c r="AB30" s="574"/>
      <c r="AC30" s="574"/>
      <c r="AD30" s="583"/>
      <c r="AE30" s="574"/>
      <c r="AF30" s="574"/>
      <c r="AG30" s="574"/>
      <c r="AH30" s="574"/>
      <c r="AI30" s="574"/>
      <c r="AJ30" s="574"/>
      <c r="AK30" s="574"/>
      <c r="AL30" s="574"/>
      <c r="AM30" s="574"/>
      <c r="AN30" s="573">
        <f t="shared" si="7"/>
        <v>0</v>
      </c>
      <c r="AO30" s="574"/>
      <c r="AP30" s="574"/>
      <c r="AQ30" s="574"/>
      <c r="AR30" s="574"/>
      <c r="AS30" s="574"/>
      <c r="AT30" s="574"/>
      <c r="AU30" s="574"/>
      <c r="AV30" s="574"/>
      <c r="AW30" s="574"/>
      <c r="AX30" s="565"/>
      <c r="AY30" s="565"/>
      <c r="AZ30" s="565"/>
    </row>
    <row r="31" spans="1:53" ht="22.5" hidden="1" outlineLevel="1" x14ac:dyDescent="0.2">
      <c r="A31" s="557" t="str">
        <f t="shared" si="6"/>
        <v>1</v>
      </c>
      <c r="C31" s="567"/>
      <c r="D31" s="567" t="s">
        <v>614</v>
      </c>
      <c r="L31" s="568" t="s">
        <v>615</v>
      </c>
      <c r="M31" s="589" t="s">
        <v>616</v>
      </c>
      <c r="N31" s="570" t="s">
        <v>106</v>
      </c>
      <c r="O31" s="583"/>
      <c r="P31" s="583"/>
      <c r="Q31" s="583"/>
      <c r="R31" s="573">
        <v>0</v>
      </c>
      <c r="S31" s="583"/>
      <c r="T31" s="583"/>
      <c r="U31" s="574"/>
      <c r="V31" s="574"/>
      <c r="W31" s="574"/>
      <c r="X31" s="574"/>
      <c r="Y31" s="574"/>
      <c r="Z31" s="574"/>
      <c r="AA31" s="574"/>
      <c r="AB31" s="574"/>
      <c r="AC31" s="574"/>
      <c r="AD31" s="583"/>
      <c r="AE31" s="574"/>
      <c r="AF31" s="574"/>
      <c r="AG31" s="574"/>
      <c r="AH31" s="574"/>
      <c r="AI31" s="574"/>
      <c r="AJ31" s="574"/>
      <c r="AK31" s="574"/>
      <c r="AL31" s="574"/>
      <c r="AM31" s="574"/>
      <c r="AN31" s="573">
        <f t="shared" si="7"/>
        <v>0</v>
      </c>
      <c r="AO31" s="574"/>
      <c r="AP31" s="574"/>
      <c r="AQ31" s="574"/>
      <c r="AR31" s="574"/>
      <c r="AS31" s="574"/>
      <c r="AT31" s="574"/>
      <c r="AU31" s="574"/>
      <c r="AV31" s="574"/>
      <c r="AW31" s="574"/>
      <c r="AX31" s="565"/>
      <c r="AY31" s="565"/>
      <c r="AZ31" s="565"/>
    </row>
    <row r="32" spans="1:53" ht="22.5" hidden="1" outlineLevel="1" x14ac:dyDescent="0.2">
      <c r="A32" s="557" t="str">
        <f t="shared" si="6"/>
        <v>1</v>
      </c>
      <c r="C32" s="567"/>
      <c r="D32" s="567" t="s">
        <v>617</v>
      </c>
      <c r="L32" s="568" t="s">
        <v>618</v>
      </c>
      <c r="M32" s="589" t="s">
        <v>619</v>
      </c>
      <c r="N32" s="570" t="s">
        <v>106</v>
      </c>
      <c r="O32" s="583"/>
      <c r="P32" s="583"/>
      <c r="Q32" s="583"/>
      <c r="R32" s="573">
        <v>0</v>
      </c>
      <c r="S32" s="583"/>
      <c r="T32" s="583"/>
      <c r="U32" s="574"/>
      <c r="V32" s="574"/>
      <c r="W32" s="574"/>
      <c r="X32" s="574"/>
      <c r="Y32" s="574"/>
      <c r="Z32" s="574"/>
      <c r="AA32" s="574"/>
      <c r="AB32" s="574"/>
      <c r="AC32" s="574"/>
      <c r="AD32" s="583"/>
      <c r="AE32" s="574"/>
      <c r="AF32" s="574"/>
      <c r="AG32" s="574"/>
      <c r="AH32" s="574"/>
      <c r="AI32" s="574"/>
      <c r="AJ32" s="574"/>
      <c r="AK32" s="574"/>
      <c r="AL32" s="574"/>
      <c r="AM32" s="574"/>
      <c r="AN32" s="573">
        <f t="shared" si="7"/>
        <v>0</v>
      </c>
      <c r="AO32" s="574"/>
      <c r="AP32" s="574"/>
      <c r="AQ32" s="574"/>
      <c r="AR32" s="574"/>
      <c r="AS32" s="574"/>
      <c r="AT32" s="574"/>
      <c r="AU32" s="574"/>
      <c r="AV32" s="574"/>
      <c r="AW32" s="574"/>
      <c r="AX32" s="565"/>
      <c r="AY32" s="565"/>
      <c r="AZ32" s="565"/>
    </row>
    <row r="33" spans="1:52" ht="56.25" hidden="1" outlineLevel="1" x14ac:dyDescent="0.2">
      <c r="A33" s="557" t="str">
        <f t="shared" si="6"/>
        <v>1</v>
      </c>
      <c r="C33" s="567"/>
      <c r="D33" s="567" t="s">
        <v>620</v>
      </c>
      <c r="L33" s="568" t="s">
        <v>621</v>
      </c>
      <c r="M33" s="584" t="s">
        <v>622</v>
      </c>
      <c r="N33" s="570" t="s">
        <v>106</v>
      </c>
      <c r="O33" s="583"/>
      <c r="P33" s="583">
        <v>63.12</v>
      </c>
      <c r="Q33" s="583"/>
      <c r="R33" s="573">
        <v>-63.12</v>
      </c>
      <c r="S33" s="583"/>
      <c r="T33" s="583">
        <v>94.927000000000007</v>
      </c>
      <c r="U33" s="574"/>
      <c r="V33" s="574"/>
      <c r="W33" s="574"/>
      <c r="X33" s="574"/>
      <c r="Y33" s="574"/>
      <c r="Z33" s="574"/>
      <c r="AA33" s="574"/>
      <c r="AB33" s="574"/>
      <c r="AC33" s="574"/>
      <c r="AD33" s="583">
        <v>210.5</v>
      </c>
      <c r="AE33" s="574"/>
      <c r="AF33" s="574"/>
      <c r="AG33" s="574"/>
      <c r="AH33" s="574"/>
      <c r="AI33" s="574"/>
      <c r="AJ33" s="574"/>
      <c r="AK33" s="574"/>
      <c r="AL33" s="574"/>
      <c r="AM33" s="574"/>
      <c r="AN33" s="573">
        <f t="shared" si="7"/>
        <v>0</v>
      </c>
      <c r="AO33" s="574"/>
      <c r="AP33" s="574"/>
      <c r="AQ33" s="574"/>
      <c r="AR33" s="574"/>
      <c r="AS33" s="574"/>
      <c r="AT33" s="574"/>
      <c r="AU33" s="574"/>
      <c r="AV33" s="574"/>
      <c r="AW33" s="574"/>
      <c r="AX33" s="565" t="s">
        <v>623</v>
      </c>
      <c r="AY33" s="565"/>
      <c r="AZ33" s="565"/>
    </row>
    <row r="34" spans="1:52" ht="11.25" hidden="1" outlineLevel="1" x14ac:dyDescent="0.2">
      <c r="A34" s="557" t="str">
        <f t="shared" si="6"/>
        <v>1</v>
      </c>
      <c r="C34" s="567"/>
      <c r="D34" s="567" t="s">
        <v>624</v>
      </c>
      <c r="L34" s="568" t="s">
        <v>625</v>
      </c>
      <c r="M34" s="584" t="s">
        <v>626</v>
      </c>
      <c r="N34" s="570" t="s">
        <v>106</v>
      </c>
      <c r="O34" s="583"/>
      <c r="P34" s="583"/>
      <c r="Q34" s="583"/>
      <c r="R34" s="573">
        <v>0</v>
      </c>
      <c r="S34" s="583"/>
      <c r="T34" s="583"/>
      <c r="U34" s="574"/>
      <c r="V34" s="574"/>
      <c r="W34" s="574"/>
      <c r="X34" s="574"/>
      <c r="Y34" s="574"/>
      <c r="Z34" s="574"/>
      <c r="AA34" s="574"/>
      <c r="AB34" s="574"/>
      <c r="AC34" s="574"/>
      <c r="AD34" s="583"/>
      <c r="AE34" s="574"/>
      <c r="AF34" s="574"/>
      <c r="AG34" s="574"/>
      <c r="AH34" s="574"/>
      <c r="AI34" s="574"/>
      <c r="AJ34" s="574"/>
      <c r="AK34" s="574"/>
      <c r="AL34" s="574"/>
      <c r="AM34" s="574"/>
      <c r="AN34" s="573">
        <f t="shared" si="7"/>
        <v>0</v>
      </c>
      <c r="AO34" s="574"/>
      <c r="AP34" s="574"/>
      <c r="AQ34" s="574"/>
      <c r="AR34" s="574"/>
      <c r="AS34" s="574"/>
      <c r="AT34" s="574"/>
      <c r="AU34" s="574"/>
      <c r="AV34" s="574"/>
      <c r="AW34" s="574"/>
      <c r="AX34" s="565"/>
      <c r="AY34" s="565"/>
      <c r="AZ34" s="565"/>
    </row>
    <row r="35" spans="1:52" ht="11.25" hidden="1" outlineLevel="1" x14ac:dyDescent="0.2">
      <c r="A35" s="557" t="str">
        <f t="shared" si="6"/>
        <v>1</v>
      </c>
      <c r="C35" s="567"/>
      <c r="D35" s="567" t="s">
        <v>627</v>
      </c>
      <c r="L35" s="568" t="s">
        <v>628</v>
      </c>
      <c r="M35" s="584" t="s">
        <v>629</v>
      </c>
      <c r="N35" s="570" t="s">
        <v>106</v>
      </c>
      <c r="O35" s="583">
        <v>596.90000000000009</v>
      </c>
      <c r="P35" s="583"/>
      <c r="Q35" s="583">
        <v>595.80999999999995</v>
      </c>
      <c r="R35" s="573">
        <v>595.80999999999995</v>
      </c>
      <c r="S35" s="583">
        <v>618.71</v>
      </c>
      <c r="T35" s="583">
        <v>54.975000000000001</v>
      </c>
      <c r="U35" s="574"/>
      <c r="V35" s="574"/>
      <c r="W35" s="574"/>
      <c r="X35" s="574"/>
      <c r="Y35" s="574"/>
      <c r="Z35" s="574"/>
      <c r="AA35" s="574"/>
      <c r="AB35" s="574"/>
      <c r="AC35" s="574"/>
      <c r="AD35" s="583">
        <v>26.59</v>
      </c>
      <c r="AE35" s="574"/>
      <c r="AF35" s="574"/>
      <c r="AG35" s="574"/>
      <c r="AH35" s="574"/>
      <c r="AI35" s="574"/>
      <c r="AJ35" s="574"/>
      <c r="AK35" s="574"/>
      <c r="AL35" s="574"/>
      <c r="AM35" s="574"/>
      <c r="AN35" s="573">
        <f>IF(S35=0,0,(AD35-S35)/S35*100)</f>
        <v>-95.702348434646282</v>
      </c>
      <c r="AO35" s="574"/>
      <c r="AP35" s="574"/>
      <c r="AQ35" s="574"/>
      <c r="AR35" s="574"/>
      <c r="AS35" s="574"/>
      <c r="AT35" s="574"/>
      <c r="AU35" s="574"/>
      <c r="AV35" s="574"/>
      <c r="AW35" s="574"/>
      <c r="AX35" s="565"/>
      <c r="AY35" s="565"/>
      <c r="AZ35" s="565"/>
    </row>
    <row r="36" spans="1:52" s="590" customFormat="1" ht="11.25" hidden="1" outlineLevel="1" x14ac:dyDescent="0.2">
      <c r="A36" s="557" t="str">
        <f t="shared" si="6"/>
        <v>1</v>
      </c>
      <c r="C36" s="567"/>
      <c r="D36" s="567" t="s">
        <v>630</v>
      </c>
      <c r="L36" s="591" t="s">
        <v>21</v>
      </c>
      <c r="M36" s="592" t="s">
        <v>631</v>
      </c>
      <c r="N36" s="593" t="s">
        <v>106</v>
      </c>
      <c r="O36" s="594">
        <v>0</v>
      </c>
      <c r="P36" s="594">
        <v>189.29</v>
      </c>
      <c r="Q36" s="594">
        <v>0</v>
      </c>
      <c r="R36" s="563">
        <v>-189.29</v>
      </c>
      <c r="S36" s="594">
        <v>0</v>
      </c>
      <c r="T36" s="594">
        <v>1142.9860000000001</v>
      </c>
      <c r="U36" s="576"/>
      <c r="V36" s="576"/>
      <c r="W36" s="576"/>
      <c r="X36" s="576"/>
      <c r="Y36" s="576"/>
      <c r="Z36" s="576"/>
      <c r="AA36" s="576"/>
      <c r="AB36" s="576"/>
      <c r="AC36" s="576"/>
      <c r="AD36" s="594">
        <v>216.29</v>
      </c>
      <c r="AE36" s="576"/>
      <c r="AF36" s="576"/>
      <c r="AG36" s="576"/>
      <c r="AH36" s="576"/>
      <c r="AI36" s="576"/>
      <c r="AJ36" s="576"/>
      <c r="AK36" s="576"/>
      <c r="AL36" s="576"/>
      <c r="AM36" s="576"/>
      <c r="AN36" s="563">
        <f>IF(S36=0,0,(AD36-S36)/S36*100)</f>
        <v>0</v>
      </c>
      <c r="AO36" s="576"/>
      <c r="AP36" s="576"/>
      <c r="AQ36" s="576"/>
      <c r="AR36" s="576"/>
      <c r="AS36" s="576"/>
      <c r="AT36" s="576"/>
      <c r="AU36" s="576"/>
      <c r="AV36" s="576"/>
      <c r="AW36" s="576"/>
      <c r="AX36" s="577"/>
      <c r="AY36" s="577"/>
      <c r="AZ36" s="577"/>
    </row>
    <row r="37" spans="1:52" ht="22.5" hidden="1" outlineLevel="1" x14ac:dyDescent="0.2">
      <c r="A37" s="557" t="str">
        <f t="shared" si="6"/>
        <v>1</v>
      </c>
      <c r="C37" s="567"/>
      <c r="D37" s="567" t="s">
        <v>632</v>
      </c>
      <c r="L37" s="568" t="s">
        <v>41</v>
      </c>
      <c r="M37" s="578" t="s">
        <v>633</v>
      </c>
      <c r="N37" s="570" t="s">
        <v>106</v>
      </c>
      <c r="O37" s="583"/>
      <c r="P37" s="583">
        <v>189.29</v>
      </c>
      <c r="Q37" s="583"/>
      <c r="R37" s="573">
        <v>-189.29</v>
      </c>
      <c r="S37" s="583"/>
      <c r="T37" s="583">
        <v>1142.9860000000001</v>
      </c>
      <c r="U37" s="574"/>
      <c r="V37" s="574"/>
      <c r="W37" s="574"/>
      <c r="X37" s="574"/>
      <c r="Y37" s="574"/>
      <c r="Z37" s="574"/>
      <c r="AA37" s="574"/>
      <c r="AB37" s="574"/>
      <c r="AC37" s="574"/>
      <c r="AD37" s="583">
        <v>216.29</v>
      </c>
      <c r="AE37" s="574"/>
      <c r="AF37" s="574"/>
      <c r="AG37" s="574"/>
      <c r="AH37" s="574"/>
      <c r="AI37" s="574"/>
      <c r="AJ37" s="574"/>
      <c r="AK37" s="574"/>
      <c r="AL37" s="574"/>
      <c r="AM37" s="574"/>
      <c r="AN37" s="573">
        <f t="shared" si="7"/>
        <v>0</v>
      </c>
      <c r="AO37" s="574"/>
      <c r="AP37" s="574"/>
      <c r="AQ37" s="574"/>
      <c r="AR37" s="574"/>
      <c r="AS37" s="574"/>
      <c r="AT37" s="574"/>
      <c r="AU37" s="574"/>
      <c r="AV37" s="574"/>
      <c r="AW37" s="574"/>
      <c r="AX37" s="565"/>
      <c r="AY37" s="565"/>
      <c r="AZ37" s="565"/>
    </row>
    <row r="38" spans="1:52" ht="38.25" hidden="1" outlineLevel="1" x14ac:dyDescent="0.2">
      <c r="A38" s="557" t="str">
        <f t="shared" si="6"/>
        <v>1</v>
      </c>
      <c r="C38" s="567"/>
      <c r="D38" s="567" t="s">
        <v>634</v>
      </c>
      <c r="L38" s="568" t="s">
        <v>48</v>
      </c>
      <c r="M38" s="588" t="s">
        <v>635</v>
      </c>
      <c r="N38" s="570" t="s">
        <v>106</v>
      </c>
      <c r="O38" s="583"/>
      <c r="P38" s="583"/>
      <c r="Q38" s="583"/>
      <c r="R38" s="573">
        <v>0</v>
      </c>
      <c r="S38" s="583"/>
      <c r="T38" s="583"/>
      <c r="U38" s="574"/>
      <c r="V38" s="574"/>
      <c r="W38" s="574"/>
      <c r="X38" s="574"/>
      <c r="Y38" s="574"/>
      <c r="Z38" s="574"/>
      <c r="AA38" s="574"/>
      <c r="AB38" s="574"/>
      <c r="AC38" s="574"/>
      <c r="AD38" s="583"/>
      <c r="AE38" s="574"/>
      <c r="AF38" s="574"/>
      <c r="AG38" s="574"/>
      <c r="AH38" s="574"/>
      <c r="AI38" s="574"/>
      <c r="AJ38" s="574"/>
      <c r="AK38" s="574"/>
      <c r="AL38" s="574"/>
      <c r="AM38" s="574"/>
      <c r="AN38" s="573">
        <f t="shared" si="7"/>
        <v>0</v>
      </c>
      <c r="AO38" s="574"/>
      <c r="AP38" s="574"/>
      <c r="AQ38" s="574"/>
      <c r="AR38" s="574"/>
      <c r="AS38" s="574"/>
      <c r="AT38" s="574"/>
      <c r="AU38" s="574"/>
      <c r="AV38" s="574"/>
      <c r="AW38" s="574"/>
      <c r="AX38" s="565"/>
      <c r="AY38" s="565"/>
      <c r="AZ38" s="565"/>
    </row>
    <row r="39" spans="1:52" ht="25.5" hidden="1" outlineLevel="1" x14ac:dyDescent="0.2">
      <c r="A39" s="557" t="str">
        <f t="shared" si="6"/>
        <v>1</v>
      </c>
      <c r="C39" s="567"/>
      <c r="D39" s="567" t="s">
        <v>636</v>
      </c>
      <c r="L39" s="568" t="s">
        <v>637</v>
      </c>
      <c r="M39" s="588" t="s">
        <v>638</v>
      </c>
      <c r="N39" s="570" t="s">
        <v>106</v>
      </c>
      <c r="O39" s="585">
        <v>0</v>
      </c>
      <c r="P39" s="585">
        <v>0</v>
      </c>
      <c r="Q39" s="585">
        <v>0</v>
      </c>
      <c r="R39" s="573">
        <v>0</v>
      </c>
      <c r="S39" s="585">
        <v>0</v>
      </c>
      <c r="T39" s="585">
        <v>0</v>
      </c>
      <c r="U39" s="574"/>
      <c r="V39" s="574"/>
      <c r="W39" s="574"/>
      <c r="X39" s="574"/>
      <c r="Y39" s="574"/>
      <c r="Z39" s="574"/>
      <c r="AA39" s="574"/>
      <c r="AB39" s="574"/>
      <c r="AC39" s="574"/>
      <c r="AD39" s="585">
        <v>0</v>
      </c>
      <c r="AE39" s="574"/>
      <c r="AF39" s="574"/>
      <c r="AG39" s="574"/>
      <c r="AH39" s="574"/>
      <c r="AI39" s="574"/>
      <c r="AJ39" s="574"/>
      <c r="AK39" s="574"/>
      <c r="AL39" s="574"/>
      <c r="AM39" s="574"/>
      <c r="AN39" s="573">
        <f>IF(S39=0,0,(AD39-S39)/S39*100)</f>
        <v>0</v>
      </c>
      <c r="AO39" s="574"/>
      <c r="AP39" s="574"/>
      <c r="AQ39" s="574"/>
      <c r="AR39" s="574"/>
      <c r="AS39" s="574"/>
      <c r="AT39" s="574"/>
      <c r="AU39" s="574"/>
      <c r="AV39" s="574"/>
      <c r="AW39" s="574"/>
      <c r="AX39" s="565"/>
      <c r="AY39" s="565"/>
      <c r="AZ39" s="565"/>
    </row>
    <row r="40" spans="1:52" ht="15" hidden="1" outlineLevel="1" x14ac:dyDescent="0.25">
      <c r="A40" s="557" t="str">
        <f t="shared" si="6"/>
        <v>1</v>
      </c>
      <c r="B40" s="595" t="s">
        <v>639</v>
      </c>
      <c r="C40" s="567"/>
      <c r="D40" s="567" t="s">
        <v>640</v>
      </c>
      <c r="L40" s="568" t="s">
        <v>641</v>
      </c>
      <c r="M40" s="581" t="s">
        <v>642</v>
      </c>
      <c r="N40" s="570" t="s">
        <v>106</v>
      </c>
      <c r="O40" s="587">
        <v>0</v>
      </c>
      <c r="P40" s="587">
        <v>0</v>
      </c>
      <c r="Q40" s="587">
        <v>0</v>
      </c>
      <c r="R40" s="573">
        <v>0</v>
      </c>
      <c r="S40" s="587">
        <v>0</v>
      </c>
      <c r="T40" s="587">
        <v>0</v>
      </c>
      <c r="U40" s="574"/>
      <c r="V40" s="574"/>
      <c r="W40" s="574"/>
      <c r="X40" s="574"/>
      <c r="Y40" s="574"/>
      <c r="Z40" s="574"/>
      <c r="AA40" s="574"/>
      <c r="AB40" s="574"/>
      <c r="AC40" s="574"/>
      <c r="AD40" s="587">
        <v>0</v>
      </c>
      <c r="AE40" s="574"/>
      <c r="AF40" s="574"/>
      <c r="AG40" s="574"/>
      <c r="AH40" s="574"/>
      <c r="AI40" s="574"/>
      <c r="AJ40" s="574"/>
      <c r="AK40" s="574"/>
      <c r="AL40" s="574"/>
      <c r="AM40" s="574"/>
      <c r="AN40" s="573">
        <f>IF(S40=0,0,(AD40-S40)/S40*100)</f>
        <v>0</v>
      </c>
      <c r="AO40" s="574"/>
      <c r="AP40" s="574"/>
      <c r="AQ40" s="574"/>
      <c r="AR40" s="574"/>
      <c r="AS40" s="574"/>
      <c r="AT40" s="574"/>
      <c r="AU40" s="574"/>
      <c r="AV40" s="574"/>
      <c r="AW40" s="574"/>
      <c r="AX40" s="565"/>
      <c r="AY40" s="565"/>
      <c r="AZ40" s="565"/>
    </row>
    <row r="41" spans="1:52" ht="25.5" hidden="1" outlineLevel="1" x14ac:dyDescent="0.25">
      <c r="A41" s="557" t="str">
        <f t="shared" si="6"/>
        <v>1</v>
      </c>
      <c r="B41" s="595" t="s">
        <v>643</v>
      </c>
      <c r="C41" s="567"/>
      <c r="D41" s="567" t="s">
        <v>644</v>
      </c>
      <c r="L41" s="568" t="s">
        <v>645</v>
      </c>
      <c r="M41" s="581" t="s">
        <v>646</v>
      </c>
      <c r="N41" s="570" t="s">
        <v>106</v>
      </c>
      <c r="O41" s="587">
        <v>0</v>
      </c>
      <c r="P41" s="587">
        <v>0</v>
      </c>
      <c r="Q41" s="587">
        <v>0</v>
      </c>
      <c r="R41" s="573">
        <v>0</v>
      </c>
      <c r="S41" s="587">
        <v>0</v>
      </c>
      <c r="T41" s="587">
        <v>0</v>
      </c>
      <c r="U41" s="574"/>
      <c r="V41" s="574"/>
      <c r="W41" s="574"/>
      <c r="X41" s="574"/>
      <c r="Y41" s="574"/>
      <c r="Z41" s="574"/>
      <c r="AA41" s="574"/>
      <c r="AB41" s="574"/>
      <c r="AC41" s="574"/>
      <c r="AD41" s="587">
        <v>0</v>
      </c>
      <c r="AE41" s="574"/>
      <c r="AF41" s="574"/>
      <c r="AG41" s="574"/>
      <c r="AH41" s="574"/>
      <c r="AI41" s="574"/>
      <c r="AJ41" s="574"/>
      <c r="AK41" s="574"/>
      <c r="AL41" s="574"/>
      <c r="AM41" s="574"/>
      <c r="AN41" s="573">
        <f>IF(S41=0,0,(AD41-S41)/S41*100)</f>
        <v>0</v>
      </c>
      <c r="AO41" s="574"/>
      <c r="AP41" s="574"/>
      <c r="AQ41" s="574"/>
      <c r="AR41" s="574"/>
      <c r="AS41" s="574"/>
      <c r="AT41" s="574"/>
      <c r="AU41" s="574"/>
      <c r="AV41" s="574"/>
      <c r="AW41" s="574"/>
      <c r="AX41" s="565"/>
      <c r="AY41" s="565"/>
      <c r="AZ41" s="565"/>
    </row>
    <row r="42" spans="1:52" s="590" customFormat="1" ht="11.25" hidden="1" outlineLevel="1" x14ac:dyDescent="0.2">
      <c r="A42" s="557" t="str">
        <f t="shared" si="6"/>
        <v>1</v>
      </c>
      <c r="C42" s="567"/>
      <c r="D42" s="567" t="s">
        <v>647</v>
      </c>
      <c r="L42" s="591" t="s">
        <v>22</v>
      </c>
      <c r="M42" s="592" t="s">
        <v>77</v>
      </c>
      <c r="N42" s="593" t="s">
        <v>106</v>
      </c>
      <c r="O42" s="594">
        <v>0.6</v>
      </c>
      <c r="P42" s="594">
        <v>485.93441999999999</v>
      </c>
      <c r="Q42" s="594">
        <v>0.59890872276737384</v>
      </c>
      <c r="R42" s="563">
        <v>-485.33551127723263</v>
      </c>
      <c r="S42" s="594">
        <v>0.62</v>
      </c>
      <c r="T42" s="594">
        <v>642.94987630232004</v>
      </c>
      <c r="U42" s="576"/>
      <c r="V42" s="576"/>
      <c r="W42" s="576"/>
      <c r="X42" s="576"/>
      <c r="Y42" s="576"/>
      <c r="Z42" s="576"/>
      <c r="AA42" s="576"/>
      <c r="AB42" s="576"/>
      <c r="AC42" s="576"/>
      <c r="AD42" s="594">
        <v>596.49230500352769</v>
      </c>
      <c r="AE42" s="576"/>
      <c r="AF42" s="576"/>
      <c r="AG42" s="576"/>
      <c r="AH42" s="576"/>
      <c r="AI42" s="576"/>
      <c r="AJ42" s="576"/>
      <c r="AK42" s="576"/>
      <c r="AL42" s="576"/>
      <c r="AM42" s="576"/>
      <c r="AN42" s="563">
        <f>IF(S42=0,0,(AD42-S42)/S42*100)</f>
        <v>96108.436290891565</v>
      </c>
      <c r="AO42" s="576"/>
      <c r="AP42" s="576"/>
      <c r="AQ42" s="576"/>
      <c r="AR42" s="576"/>
      <c r="AS42" s="576"/>
      <c r="AT42" s="576"/>
      <c r="AU42" s="576"/>
      <c r="AV42" s="576"/>
      <c r="AW42" s="576"/>
      <c r="AX42" s="577"/>
      <c r="AY42" s="577"/>
      <c r="AZ42" s="577"/>
    </row>
    <row r="43" spans="1:52" ht="22.5" hidden="1" outlineLevel="1" x14ac:dyDescent="0.2">
      <c r="A43" s="557" t="str">
        <f t="shared" si="6"/>
        <v>1</v>
      </c>
      <c r="B43" s="537" t="s">
        <v>648</v>
      </c>
      <c r="C43" s="567"/>
      <c r="D43" s="567" t="s">
        <v>649</v>
      </c>
      <c r="L43" s="568" t="s">
        <v>650</v>
      </c>
      <c r="M43" s="578" t="s">
        <v>651</v>
      </c>
      <c r="N43" s="570" t="s">
        <v>106</v>
      </c>
      <c r="O43" s="587">
        <v>0.6</v>
      </c>
      <c r="P43" s="587">
        <v>54.379999999999995</v>
      </c>
      <c r="Q43" s="587">
        <v>0.59890872276737384</v>
      </c>
      <c r="R43" s="573">
        <v>-53.781091277232619</v>
      </c>
      <c r="S43" s="587">
        <v>0.62</v>
      </c>
      <c r="T43" s="587">
        <v>56.949999999999996</v>
      </c>
      <c r="U43" s="574"/>
      <c r="V43" s="574"/>
      <c r="W43" s="574"/>
      <c r="X43" s="574"/>
      <c r="Y43" s="574"/>
      <c r="Z43" s="574"/>
      <c r="AA43" s="574"/>
      <c r="AB43" s="574"/>
      <c r="AC43" s="574"/>
      <c r="AD43" s="587">
        <v>56.949999999999996</v>
      </c>
      <c r="AE43" s="574"/>
      <c r="AF43" s="574"/>
      <c r="AG43" s="574"/>
      <c r="AH43" s="574"/>
      <c r="AI43" s="574"/>
      <c r="AJ43" s="574"/>
      <c r="AK43" s="574"/>
      <c r="AL43" s="574"/>
      <c r="AM43" s="574"/>
      <c r="AN43" s="573">
        <f t="shared" si="7"/>
        <v>9085.4838709677424</v>
      </c>
      <c r="AO43" s="574"/>
      <c r="AP43" s="574"/>
      <c r="AQ43" s="574"/>
      <c r="AR43" s="574"/>
      <c r="AS43" s="574"/>
      <c r="AT43" s="574"/>
      <c r="AU43" s="574"/>
      <c r="AV43" s="574"/>
      <c r="AW43" s="574"/>
      <c r="AX43" s="565"/>
      <c r="AY43" s="565"/>
      <c r="AZ43" s="565"/>
    </row>
    <row r="44" spans="1:52" ht="12.75" hidden="1" outlineLevel="1" x14ac:dyDescent="0.2">
      <c r="A44" s="557" t="str">
        <f t="shared" si="6"/>
        <v>1</v>
      </c>
      <c r="B44" s="537" t="s">
        <v>652</v>
      </c>
      <c r="C44" s="567"/>
      <c r="D44" s="567" t="s">
        <v>653</v>
      </c>
      <c r="L44" s="568" t="s">
        <v>654</v>
      </c>
      <c r="M44" s="581" t="s">
        <v>655</v>
      </c>
      <c r="N44" s="570" t="s">
        <v>106</v>
      </c>
      <c r="O44" s="587">
        <v>0</v>
      </c>
      <c r="P44" s="587">
        <v>6.37</v>
      </c>
      <c r="Q44" s="587">
        <v>0</v>
      </c>
      <c r="R44" s="573">
        <v>-6.37</v>
      </c>
      <c r="S44" s="587">
        <v>0</v>
      </c>
      <c r="T44" s="587">
        <v>7.12</v>
      </c>
      <c r="U44" s="574"/>
      <c r="V44" s="574"/>
      <c r="W44" s="574"/>
      <c r="X44" s="574"/>
      <c r="Y44" s="574"/>
      <c r="Z44" s="574"/>
      <c r="AA44" s="574"/>
      <c r="AB44" s="574"/>
      <c r="AC44" s="574"/>
      <c r="AD44" s="587">
        <v>0</v>
      </c>
      <c r="AE44" s="574"/>
      <c r="AF44" s="574"/>
      <c r="AG44" s="574"/>
      <c r="AH44" s="574"/>
      <c r="AI44" s="574"/>
      <c r="AJ44" s="574"/>
      <c r="AK44" s="574"/>
      <c r="AL44" s="574"/>
      <c r="AM44" s="574"/>
      <c r="AN44" s="573">
        <f t="shared" si="7"/>
        <v>0</v>
      </c>
      <c r="AO44" s="574"/>
      <c r="AP44" s="574"/>
      <c r="AQ44" s="574"/>
      <c r="AR44" s="574"/>
      <c r="AS44" s="574"/>
      <c r="AT44" s="574"/>
      <c r="AU44" s="574"/>
      <c r="AV44" s="574"/>
      <c r="AW44" s="574"/>
      <c r="AX44" s="565"/>
      <c r="AY44" s="565"/>
      <c r="AZ44" s="565"/>
    </row>
    <row r="45" spans="1:52" ht="12.75" hidden="1" outlineLevel="1" x14ac:dyDescent="0.2">
      <c r="A45" s="557" t="str">
        <f t="shared" si="6"/>
        <v>1</v>
      </c>
      <c r="B45" s="537" t="s">
        <v>656</v>
      </c>
      <c r="C45" s="567"/>
      <c r="D45" s="567" t="s">
        <v>657</v>
      </c>
      <c r="L45" s="568" t="s">
        <v>658</v>
      </c>
      <c r="M45" s="581" t="s">
        <v>659</v>
      </c>
      <c r="N45" s="570" t="s">
        <v>106</v>
      </c>
      <c r="O45" s="587">
        <v>0</v>
      </c>
      <c r="P45" s="587">
        <v>0</v>
      </c>
      <c r="Q45" s="587">
        <v>0</v>
      </c>
      <c r="R45" s="573">
        <v>0</v>
      </c>
      <c r="S45" s="587">
        <v>0</v>
      </c>
      <c r="T45" s="587">
        <v>0</v>
      </c>
      <c r="U45" s="574"/>
      <c r="V45" s="574"/>
      <c r="W45" s="574"/>
      <c r="X45" s="574"/>
      <c r="Y45" s="574"/>
      <c r="Z45" s="574"/>
      <c r="AA45" s="574"/>
      <c r="AB45" s="574"/>
      <c r="AC45" s="574"/>
      <c r="AD45" s="587">
        <v>0</v>
      </c>
      <c r="AE45" s="574"/>
      <c r="AF45" s="574"/>
      <c r="AG45" s="574"/>
      <c r="AH45" s="574"/>
      <c r="AI45" s="574"/>
      <c r="AJ45" s="574"/>
      <c r="AK45" s="574"/>
      <c r="AL45" s="574"/>
      <c r="AM45" s="574"/>
      <c r="AN45" s="573">
        <f t="shared" si="7"/>
        <v>0</v>
      </c>
      <c r="AO45" s="574"/>
      <c r="AP45" s="574"/>
      <c r="AQ45" s="574"/>
      <c r="AR45" s="574"/>
      <c r="AS45" s="574"/>
      <c r="AT45" s="574"/>
      <c r="AU45" s="574"/>
      <c r="AV45" s="574"/>
      <c r="AW45" s="574"/>
      <c r="AX45" s="565"/>
      <c r="AY45" s="565"/>
      <c r="AZ45" s="565"/>
    </row>
    <row r="46" spans="1:52" ht="12.75" hidden="1" outlineLevel="1" x14ac:dyDescent="0.2">
      <c r="A46" s="557" t="str">
        <f t="shared" si="6"/>
        <v>1</v>
      </c>
      <c r="B46" s="537" t="s">
        <v>660</v>
      </c>
      <c r="C46" s="567"/>
      <c r="D46" s="567" t="s">
        <v>661</v>
      </c>
      <c r="L46" s="568" t="s">
        <v>662</v>
      </c>
      <c r="M46" s="581" t="s">
        <v>663</v>
      </c>
      <c r="N46" s="570" t="s">
        <v>106</v>
      </c>
      <c r="O46" s="587">
        <v>0</v>
      </c>
      <c r="P46" s="587">
        <v>0</v>
      </c>
      <c r="Q46" s="587">
        <v>0</v>
      </c>
      <c r="R46" s="573">
        <v>0</v>
      </c>
      <c r="S46" s="587">
        <v>0</v>
      </c>
      <c r="T46" s="587">
        <v>0</v>
      </c>
      <c r="U46" s="574"/>
      <c r="V46" s="574"/>
      <c r="W46" s="574"/>
      <c r="X46" s="574"/>
      <c r="Y46" s="574"/>
      <c r="Z46" s="574"/>
      <c r="AA46" s="574"/>
      <c r="AB46" s="574"/>
      <c r="AC46" s="574"/>
      <c r="AD46" s="587">
        <v>0</v>
      </c>
      <c r="AE46" s="574"/>
      <c r="AF46" s="574"/>
      <c r="AG46" s="574"/>
      <c r="AH46" s="574"/>
      <c r="AI46" s="574"/>
      <c r="AJ46" s="574"/>
      <c r="AK46" s="574"/>
      <c r="AL46" s="574"/>
      <c r="AM46" s="574"/>
      <c r="AN46" s="573">
        <f t="shared" si="7"/>
        <v>0</v>
      </c>
      <c r="AO46" s="574"/>
      <c r="AP46" s="574"/>
      <c r="AQ46" s="574"/>
      <c r="AR46" s="574"/>
      <c r="AS46" s="574"/>
      <c r="AT46" s="574"/>
      <c r="AU46" s="574"/>
      <c r="AV46" s="574"/>
      <c r="AW46" s="574"/>
      <c r="AX46" s="565"/>
      <c r="AY46" s="565"/>
      <c r="AZ46" s="565"/>
    </row>
    <row r="47" spans="1:52" ht="12.75" hidden="1" outlineLevel="1" x14ac:dyDescent="0.2">
      <c r="A47" s="557" t="str">
        <f t="shared" si="6"/>
        <v>1</v>
      </c>
      <c r="B47" s="537" t="s">
        <v>664</v>
      </c>
      <c r="C47" s="567"/>
      <c r="D47" s="567" t="s">
        <v>665</v>
      </c>
      <c r="L47" s="568" t="s">
        <v>666</v>
      </c>
      <c r="M47" s="581" t="s">
        <v>667</v>
      </c>
      <c r="N47" s="570" t="s">
        <v>106</v>
      </c>
      <c r="O47" s="587">
        <v>0</v>
      </c>
      <c r="P47" s="587">
        <v>0</v>
      </c>
      <c r="Q47" s="587">
        <v>0</v>
      </c>
      <c r="R47" s="573">
        <v>0</v>
      </c>
      <c r="S47" s="587">
        <v>0</v>
      </c>
      <c r="T47" s="587">
        <v>0</v>
      </c>
      <c r="U47" s="574"/>
      <c r="V47" s="574"/>
      <c r="W47" s="574"/>
      <c r="X47" s="574"/>
      <c r="Y47" s="574"/>
      <c r="Z47" s="574"/>
      <c r="AA47" s="574"/>
      <c r="AB47" s="574"/>
      <c r="AC47" s="574"/>
      <c r="AD47" s="587">
        <v>0</v>
      </c>
      <c r="AE47" s="574"/>
      <c r="AF47" s="574"/>
      <c r="AG47" s="574"/>
      <c r="AH47" s="574"/>
      <c r="AI47" s="574"/>
      <c r="AJ47" s="574"/>
      <c r="AK47" s="574"/>
      <c r="AL47" s="574"/>
      <c r="AM47" s="574"/>
      <c r="AN47" s="573">
        <f t="shared" si="7"/>
        <v>0</v>
      </c>
      <c r="AO47" s="574"/>
      <c r="AP47" s="574"/>
      <c r="AQ47" s="574"/>
      <c r="AR47" s="574"/>
      <c r="AS47" s="574"/>
      <c r="AT47" s="574"/>
      <c r="AU47" s="574"/>
      <c r="AV47" s="574"/>
      <c r="AW47" s="574"/>
      <c r="AX47" s="565"/>
      <c r="AY47" s="565"/>
      <c r="AZ47" s="565"/>
    </row>
    <row r="48" spans="1:52" ht="12.75" hidden="1" outlineLevel="1" x14ac:dyDescent="0.2">
      <c r="A48" s="557" t="str">
        <f t="shared" si="6"/>
        <v>1</v>
      </c>
      <c r="B48" s="537" t="s">
        <v>668</v>
      </c>
      <c r="C48" s="567"/>
      <c r="D48" s="567" t="s">
        <v>669</v>
      </c>
      <c r="L48" s="568" t="s">
        <v>670</v>
      </c>
      <c r="M48" s="581" t="s">
        <v>671</v>
      </c>
      <c r="N48" s="570" t="s">
        <v>106</v>
      </c>
      <c r="O48" s="587">
        <v>0</v>
      </c>
      <c r="P48" s="587">
        <v>0</v>
      </c>
      <c r="Q48" s="587">
        <v>0</v>
      </c>
      <c r="R48" s="573">
        <v>0</v>
      </c>
      <c r="S48" s="587">
        <v>0</v>
      </c>
      <c r="T48" s="587">
        <v>0</v>
      </c>
      <c r="U48" s="574"/>
      <c r="V48" s="574"/>
      <c r="W48" s="574"/>
      <c r="X48" s="574"/>
      <c r="Y48" s="574"/>
      <c r="Z48" s="574"/>
      <c r="AA48" s="574"/>
      <c r="AB48" s="574"/>
      <c r="AC48" s="574"/>
      <c r="AD48" s="587">
        <v>0</v>
      </c>
      <c r="AE48" s="574"/>
      <c r="AF48" s="574"/>
      <c r="AG48" s="574"/>
      <c r="AH48" s="574"/>
      <c r="AI48" s="574"/>
      <c r="AJ48" s="574"/>
      <c r="AK48" s="574"/>
      <c r="AL48" s="574"/>
      <c r="AM48" s="574"/>
      <c r="AN48" s="573">
        <f t="shared" si="7"/>
        <v>0</v>
      </c>
      <c r="AO48" s="574"/>
      <c r="AP48" s="574"/>
      <c r="AQ48" s="574"/>
      <c r="AR48" s="574"/>
      <c r="AS48" s="574"/>
      <c r="AT48" s="574"/>
      <c r="AU48" s="574"/>
      <c r="AV48" s="574"/>
      <c r="AW48" s="574"/>
      <c r="AX48" s="565"/>
      <c r="AY48" s="565"/>
      <c r="AZ48" s="565"/>
    </row>
    <row r="49" spans="1:52" ht="12.75" hidden="1" outlineLevel="1" x14ac:dyDescent="0.2">
      <c r="A49" s="557" t="str">
        <f t="shared" si="6"/>
        <v>1</v>
      </c>
      <c r="B49" s="537" t="s">
        <v>672</v>
      </c>
      <c r="C49" s="567"/>
      <c r="D49" s="567" t="s">
        <v>673</v>
      </c>
      <c r="L49" s="568" t="s">
        <v>674</v>
      </c>
      <c r="M49" s="581" t="s">
        <v>675</v>
      </c>
      <c r="N49" s="570" t="s">
        <v>106</v>
      </c>
      <c r="O49" s="587">
        <v>0</v>
      </c>
      <c r="P49" s="587">
        <v>8.9600000000000009</v>
      </c>
      <c r="Q49" s="587">
        <v>0</v>
      </c>
      <c r="R49" s="573">
        <v>-8.9600000000000009</v>
      </c>
      <c r="S49" s="587">
        <v>0</v>
      </c>
      <c r="T49" s="587">
        <v>9.67</v>
      </c>
      <c r="U49" s="574"/>
      <c r="V49" s="574"/>
      <c r="W49" s="574"/>
      <c r="X49" s="574"/>
      <c r="Y49" s="574"/>
      <c r="Z49" s="574"/>
      <c r="AA49" s="574"/>
      <c r="AB49" s="574"/>
      <c r="AC49" s="574"/>
      <c r="AD49" s="587">
        <v>0</v>
      </c>
      <c r="AE49" s="574"/>
      <c r="AF49" s="574"/>
      <c r="AG49" s="574"/>
      <c r="AH49" s="574"/>
      <c r="AI49" s="574"/>
      <c r="AJ49" s="574"/>
      <c r="AK49" s="574"/>
      <c r="AL49" s="574"/>
      <c r="AM49" s="574"/>
      <c r="AN49" s="573">
        <f t="shared" si="7"/>
        <v>0</v>
      </c>
      <c r="AO49" s="574"/>
      <c r="AP49" s="574"/>
      <c r="AQ49" s="574"/>
      <c r="AR49" s="574"/>
      <c r="AS49" s="574"/>
      <c r="AT49" s="574"/>
      <c r="AU49" s="574"/>
      <c r="AV49" s="574"/>
      <c r="AW49" s="574"/>
      <c r="AX49" s="565"/>
      <c r="AY49" s="565"/>
      <c r="AZ49" s="565"/>
    </row>
    <row r="50" spans="1:52" ht="12.75" hidden="1" outlineLevel="1" x14ac:dyDescent="0.2">
      <c r="A50" s="557" t="str">
        <f t="shared" si="6"/>
        <v>1</v>
      </c>
      <c r="B50" s="537" t="s">
        <v>676</v>
      </c>
      <c r="C50" s="567"/>
      <c r="D50" s="567" t="s">
        <v>677</v>
      </c>
      <c r="L50" s="568" t="s">
        <v>678</v>
      </c>
      <c r="M50" s="581" t="s">
        <v>679</v>
      </c>
      <c r="N50" s="570" t="s">
        <v>106</v>
      </c>
      <c r="O50" s="587">
        <v>0.6</v>
      </c>
      <c r="P50" s="587">
        <v>39.049999999999997</v>
      </c>
      <c r="Q50" s="587">
        <v>0.59890872276737384</v>
      </c>
      <c r="R50" s="573">
        <v>-38.451091277232621</v>
      </c>
      <c r="S50" s="587">
        <v>0.62</v>
      </c>
      <c r="T50" s="587">
        <v>40.159999999999997</v>
      </c>
      <c r="U50" s="574"/>
      <c r="V50" s="574"/>
      <c r="W50" s="574"/>
      <c r="X50" s="574"/>
      <c r="Y50" s="574"/>
      <c r="Z50" s="574"/>
      <c r="AA50" s="574"/>
      <c r="AB50" s="574"/>
      <c r="AC50" s="574"/>
      <c r="AD50" s="587">
        <v>56.949999999999996</v>
      </c>
      <c r="AE50" s="574"/>
      <c r="AF50" s="574"/>
      <c r="AG50" s="574"/>
      <c r="AH50" s="574"/>
      <c r="AI50" s="574"/>
      <c r="AJ50" s="574"/>
      <c r="AK50" s="574"/>
      <c r="AL50" s="574"/>
      <c r="AM50" s="574"/>
      <c r="AN50" s="573">
        <f>IF(S50=0,0,(AD50-S50)/S50*100)</f>
        <v>9085.4838709677424</v>
      </c>
      <c r="AO50" s="574"/>
      <c r="AP50" s="574"/>
      <c r="AQ50" s="574"/>
      <c r="AR50" s="574"/>
      <c r="AS50" s="574"/>
      <c r="AT50" s="574"/>
      <c r="AU50" s="574"/>
      <c r="AV50" s="574"/>
      <c r="AW50" s="574"/>
      <c r="AX50" s="565"/>
      <c r="AY50" s="565"/>
      <c r="AZ50" s="565"/>
    </row>
    <row r="51" spans="1:52" ht="22.5" hidden="1" outlineLevel="1" x14ac:dyDescent="0.2">
      <c r="A51" s="557" t="str">
        <f t="shared" si="6"/>
        <v>1</v>
      </c>
      <c r="C51" s="567"/>
      <c r="D51" s="567" t="s">
        <v>680</v>
      </c>
      <c r="L51" s="568" t="s">
        <v>681</v>
      </c>
      <c r="M51" s="578" t="s">
        <v>682</v>
      </c>
      <c r="N51" s="570" t="s">
        <v>106</v>
      </c>
      <c r="O51" s="585">
        <v>0</v>
      </c>
      <c r="P51" s="585">
        <v>365.48442</v>
      </c>
      <c r="Q51" s="585">
        <v>0</v>
      </c>
      <c r="R51" s="573">
        <v>-365.48442</v>
      </c>
      <c r="S51" s="585">
        <v>0</v>
      </c>
      <c r="T51" s="585">
        <v>506.39987630232002</v>
      </c>
      <c r="U51" s="574"/>
      <c r="V51" s="574"/>
      <c r="W51" s="574"/>
      <c r="X51" s="574"/>
      <c r="Y51" s="574"/>
      <c r="Z51" s="574"/>
      <c r="AA51" s="574"/>
      <c r="AB51" s="574"/>
      <c r="AC51" s="574"/>
      <c r="AD51" s="585">
        <v>482.77237299712766</v>
      </c>
      <c r="AE51" s="574"/>
      <c r="AF51" s="574"/>
      <c r="AG51" s="574"/>
      <c r="AH51" s="574"/>
      <c r="AI51" s="574"/>
      <c r="AJ51" s="574"/>
      <c r="AK51" s="574"/>
      <c r="AL51" s="574"/>
      <c r="AM51" s="574"/>
      <c r="AN51" s="573">
        <f>IF(S51=0,0,(AD51-S51)/S51*100)</f>
        <v>0</v>
      </c>
      <c r="AO51" s="574"/>
      <c r="AP51" s="574"/>
      <c r="AQ51" s="574"/>
      <c r="AR51" s="574"/>
      <c r="AS51" s="574"/>
      <c r="AT51" s="574"/>
      <c r="AU51" s="574"/>
      <c r="AV51" s="574"/>
      <c r="AW51" s="574"/>
      <c r="AX51" s="565"/>
      <c r="AY51" s="565"/>
      <c r="AZ51" s="565"/>
    </row>
    <row r="52" spans="1:52" ht="12.75" hidden="1" outlineLevel="1" x14ac:dyDescent="0.2">
      <c r="A52" s="557" t="str">
        <f t="shared" si="6"/>
        <v>1</v>
      </c>
      <c r="B52" s="537" t="s">
        <v>683</v>
      </c>
      <c r="C52" s="567"/>
      <c r="D52" s="567" t="s">
        <v>684</v>
      </c>
      <c r="L52" s="568" t="s">
        <v>685</v>
      </c>
      <c r="M52" s="581" t="s">
        <v>686</v>
      </c>
      <c r="N52" s="596" t="s">
        <v>106</v>
      </c>
      <c r="O52" s="587">
        <v>0</v>
      </c>
      <c r="P52" s="587">
        <v>280.70999999999998</v>
      </c>
      <c r="Q52" s="587">
        <v>0</v>
      </c>
      <c r="R52" s="573">
        <v>-280.70999999999998</v>
      </c>
      <c r="S52" s="587">
        <v>0</v>
      </c>
      <c r="T52" s="587">
        <v>388.93999716000002</v>
      </c>
      <c r="U52" s="574"/>
      <c r="V52" s="574"/>
      <c r="W52" s="574"/>
      <c r="X52" s="574"/>
      <c r="Y52" s="574"/>
      <c r="Z52" s="574"/>
      <c r="AA52" s="574"/>
      <c r="AB52" s="574"/>
      <c r="AC52" s="574"/>
      <c r="AD52" s="587">
        <v>370.79291320823938</v>
      </c>
      <c r="AE52" s="574"/>
      <c r="AF52" s="574"/>
      <c r="AG52" s="574"/>
      <c r="AH52" s="574"/>
      <c r="AI52" s="574"/>
      <c r="AJ52" s="574"/>
      <c r="AK52" s="574"/>
      <c r="AL52" s="574"/>
      <c r="AM52" s="574"/>
      <c r="AN52" s="573">
        <f>IF(S52=0,0,(AD52-S52)/S52*100)</f>
        <v>0</v>
      </c>
      <c r="AO52" s="574"/>
      <c r="AP52" s="574"/>
      <c r="AQ52" s="574"/>
      <c r="AR52" s="574"/>
      <c r="AS52" s="574"/>
      <c r="AT52" s="574"/>
      <c r="AU52" s="574"/>
      <c r="AV52" s="574"/>
      <c r="AW52" s="574"/>
      <c r="AX52" s="565"/>
      <c r="AY52" s="565"/>
      <c r="AZ52" s="565"/>
    </row>
    <row r="53" spans="1:52" ht="25.5" hidden="1" outlineLevel="1" x14ac:dyDescent="0.2">
      <c r="A53" s="557" t="str">
        <f t="shared" si="6"/>
        <v>1</v>
      </c>
      <c r="B53" s="537" t="s">
        <v>687</v>
      </c>
      <c r="C53" s="567"/>
      <c r="D53" s="567" t="s">
        <v>688</v>
      </c>
      <c r="L53" s="568" t="s">
        <v>689</v>
      </c>
      <c r="M53" s="581" t="s">
        <v>690</v>
      </c>
      <c r="N53" s="570" t="s">
        <v>106</v>
      </c>
      <c r="O53" s="587">
        <v>0</v>
      </c>
      <c r="P53" s="587">
        <v>84.774419999999992</v>
      </c>
      <c r="Q53" s="587">
        <v>0</v>
      </c>
      <c r="R53" s="573">
        <v>-84.774419999999992</v>
      </c>
      <c r="S53" s="587">
        <v>0</v>
      </c>
      <c r="T53" s="587">
        <v>117.45987914232001</v>
      </c>
      <c r="U53" s="574"/>
      <c r="V53" s="574"/>
      <c r="W53" s="574"/>
      <c r="X53" s="574"/>
      <c r="Y53" s="574"/>
      <c r="Z53" s="574"/>
      <c r="AA53" s="574"/>
      <c r="AB53" s="574"/>
      <c r="AC53" s="574"/>
      <c r="AD53" s="587">
        <v>111.97945978888829</v>
      </c>
      <c r="AE53" s="574"/>
      <c r="AF53" s="574"/>
      <c r="AG53" s="574"/>
      <c r="AH53" s="574"/>
      <c r="AI53" s="574"/>
      <c r="AJ53" s="574"/>
      <c r="AK53" s="574"/>
      <c r="AL53" s="574"/>
      <c r="AM53" s="574"/>
      <c r="AN53" s="573">
        <f>IF(S53=0,0,(AD53-S53)/S53*100)</f>
        <v>0</v>
      </c>
      <c r="AO53" s="574"/>
      <c r="AP53" s="574"/>
      <c r="AQ53" s="574"/>
      <c r="AR53" s="574"/>
      <c r="AS53" s="574"/>
      <c r="AT53" s="574"/>
      <c r="AU53" s="574"/>
      <c r="AV53" s="574"/>
      <c r="AW53" s="574"/>
      <c r="AX53" s="565"/>
      <c r="AY53" s="565"/>
      <c r="AZ53" s="565"/>
    </row>
    <row r="54" spans="1:52" ht="33.75" hidden="1" outlineLevel="1" x14ac:dyDescent="0.25">
      <c r="A54" s="557" t="str">
        <f t="shared" si="6"/>
        <v>1</v>
      </c>
      <c r="B54" s="595" t="s">
        <v>691</v>
      </c>
      <c r="C54" s="567"/>
      <c r="D54" s="567" t="s">
        <v>692</v>
      </c>
      <c r="L54" s="568" t="s">
        <v>693</v>
      </c>
      <c r="M54" s="578" t="s">
        <v>694</v>
      </c>
      <c r="N54" s="570" t="s">
        <v>106</v>
      </c>
      <c r="O54" s="587">
        <v>0</v>
      </c>
      <c r="P54" s="587">
        <v>8.77</v>
      </c>
      <c r="Q54" s="587">
        <v>0</v>
      </c>
      <c r="R54" s="573">
        <v>-8.77</v>
      </c>
      <c r="S54" s="587">
        <v>0</v>
      </c>
      <c r="T54" s="587">
        <v>8.7799999999999994</v>
      </c>
      <c r="U54" s="574"/>
      <c r="V54" s="574"/>
      <c r="W54" s="574"/>
      <c r="X54" s="574"/>
      <c r="Y54" s="574"/>
      <c r="Z54" s="574"/>
      <c r="AA54" s="574"/>
      <c r="AB54" s="574"/>
      <c r="AC54" s="574"/>
      <c r="AD54" s="587">
        <v>0</v>
      </c>
      <c r="AE54" s="574"/>
      <c r="AF54" s="574"/>
      <c r="AG54" s="574"/>
      <c r="AH54" s="574"/>
      <c r="AI54" s="574"/>
      <c r="AJ54" s="574"/>
      <c r="AK54" s="574"/>
      <c r="AL54" s="574"/>
      <c r="AM54" s="574"/>
      <c r="AN54" s="573">
        <f t="shared" si="7"/>
        <v>0</v>
      </c>
      <c r="AO54" s="574"/>
      <c r="AP54" s="574"/>
      <c r="AQ54" s="574"/>
      <c r="AR54" s="574"/>
      <c r="AS54" s="574"/>
      <c r="AT54" s="574"/>
      <c r="AU54" s="574"/>
      <c r="AV54" s="574"/>
      <c r="AW54" s="574"/>
      <c r="AX54" s="565"/>
      <c r="AY54" s="565"/>
      <c r="AZ54" s="565"/>
    </row>
    <row r="55" spans="1:52" ht="15" hidden="1" outlineLevel="1" x14ac:dyDescent="0.25">
      <c r="A55" s="557" t="str">
        <f t="shared" si="6"/>
        <v>1</v>
      </c>
      <c r="B55" s="595" t="s">
        <v>695</v>
      </c>
      <c r="C55" s="567"/>
      <c r="D55" s="567" t="s">
        <v>696</v>
      </c>
      <c r="L55" s="568" t="s">
        <v>697</v>
      </c>
      <c r="M55" s="578" t="s">
        <v>698</v>
      </c>
      <c r="N55" s="570" t="s">
        <v>106</v>
      </c>
      <c r="O55" s="587">
        <v>0</v>
      </c>
      <c r="P55" s="587">
        <v>3</v>
      </c>
      <c r="Q55" s="587">
        <v>0</v>
      </c>
      <c r="R55" s="573">
        <v>-3</v>
      </c>
      <c r="S55" s="587">
        <v>0</v>
      </c>
      <c r="T55" s="587">
        <v>3</v>
      </c>
      <c r="U55" s="574"/>
      <c r="V55" s="574"/>
      <c r="W55" s="574"/>
      <c r="X55" s="574"/>
      <c r="Y55" s="574"/>
      <c r="Z55" s="574"/>
      <c r="AA55" s="574"/>
      <c r="AB55" s="574"/>
      <c r="AC55" s="574"/>
      <c r="AD55" s="587">
        <v>3</v>
      </c>
      <c r="AE55" s="574"/>
      <c r="AF55" s="574"/>
      <c r="AG55" s="574"/>
      <c r="AH55" s="574"/>
      <c r="AI55" s="574"/>
      <c r="AJ55" s="574"/>
      <c r="AK55" s="574"/>
      <c r="AL55" s="574"/>
      <c r="AM55" s="574"/>
      <c r="AN55" s="573">
        <f t="shared" si="7"/>
        <v>0</v>
      </c>
      <c r="AO55" s="574"/>
      <c r="AP55" s="574"/>
      <c r="AQ55" s="574"/>
      <c r="AR55" s="574"/>
      <c r="AS55" s="574"/>
      <c r="AT55" s="574"/>
      <c r="AU55" s="574"/>
      <c r="AV55" s="574"/>
      <c r="AW55" s="574"/>
      <c r="AX55" s="565"/>
      <c r="AY55" s="565"/>
      <c r="AZ55" s="565"/>
    </row>
    <row r="56" spans="1:52" ht="15" hidden="1" outlineLevel="1" x14ac:dyDescent="0.25">
      <c r="A56" s="557" t="str">
        <f t="shared" si="6"/>
        <v>1</v>
      </c>
      <c r="B56" s="595" t="s">
        <v>699</v>
      </c>
      <c r="C56" s="567"/>
      <c r="D56" s="567" t="s">
        <v>700</v>
      </c>
      <c r="L56" s="568" t="s">
        <v>701</v>
      </c>
      <c r="M56" s="578" t="s">
        <v>702</v>
      </c>
      <c r="N56" s="570" t="s">
        <v>106</v>
      </c>
      <c r="O56" s="587">
        <v>0</v>
      </c>
      <c r="P56" s="587">
        <v>2.23</v>
      </c>
      <c r="Q56" s="587">
        <v>0</v>
      </c>
      <c r="R56" s="573">
        <v>-2.23</v>
      </c>
      <c r="S56" s="587">
        <v>0</v>
      </c>
      <c r="T56" s="587">
        <v>2.48</v>
      </c>
      <c r="U56" s="574"/>
      <c r="V56" s="574"/>
      <c r="W56" s="574"/>
      <c r="X56" s="574"/>
      <c r="Y56" s="574"/>
      <c r="Z56" s="574"/>
      <c r="AA56" s="574"/>
      <c r="AB56" s="574"/>
      <c r="AC56" s="574"/>
      <c r="AD56" s="587">
        <v>2.48</v>
      </c>
      <c r="AE56" s="574"/>
      <c r="AF56" s="574"/>
      <c r="AG56" s="574"/>
      <c r="AH56" s="574"/>
      <c r="AI56" s="574"/>
      <c r="AJ56" s="574"/>
      <c r="AK56" s="574"/>
      <c r="AL56" s="574"/>
      <c r="AM56" s="574"/>
      <c r="AN56" s="573">
        <f t="shared" si="7"/>
        <v>0</v>
      </c>
      <c r="AO56" s="574"/>
      <c r="AP56" s="574"/>
      <c r="AQ56" s="574"/>
      <c r="AR56" s="574"/>
      <c r="AS56" s="574"/>
      <c r="AT56" s="574"/>
      <c r="AU56" s="574"/>
      <c r="AV56" s="574"/>
      <c r="AW56" s="574"/>
      <c r="AX56" s="565"/>
      <c r="AY56" s="565"/>
      <c r="AZ56" s="565"/>
    </row>
    <row r="57" spans="1:52" ht="15" hidden="1" outlineLevel="1" x14ac:dyDescent="0.25">
      <c r="A57" s="557" t="str">
        <f t="shared" si="6"/>
        <v>1</v>
      </c>
      <c r="B57" s="595" t="s">
        <v>703</v>
      </c>
      <c r="C57" s="567"/>
      <c r="D57" s="567" t="s">
        <v>704</v>
      </c>
      <c r="L57" s="568" t="s">
        <v>705</v>
      </c>
      <c r="M57" s="578" t="s">
        <v>706</v>
      </c>
      <c r="N57" s="570" t="s">
        <v>106</v>
      </c>
      <c r="O57" s="587">
        <v>0</v>
      </c>
      <c r="P57" s="587">
        <v>0</v>
      </c>
      <c r="Q57" s="587">
        <v>0</v>
      </c>
      <c r="R57" s="573">
        <v>0</v>
      </c>
      <c r="S57" s="587">
        <v>0</v>
      </c>
      <c r="T57" s="587">
        <v>0</v>
      </c>
      <c r="U57" s="574"/>
      <c r="V57" s="574"/>
      <c r="W57" s="574"/>
      <c r="X57" s="574"/>
      <c r="Y57" s="574"/>
      <c r="Z57" s="574"/>
      <c r="AA57" s="574"/>
      <c r="AB57" s="574"/>
      <c r="AC57" s="574"/>
      <c r="AD57" s="587">
        <v>0</v>
      </c>
      <c r="AE57" s="574"/>
      <c r="AF57" s="574"/>
      <c r="AG57" s="574"/>
      <c r="AH57" s="574"/>
      <c r="AI57" s="574"/>
      <c r="AJ57" s="574"/>
      <c r="AK57" s="574"/>
      <c r="AL57" s="574"/>
      <c r="AM57" s="574"/>
      <c r="AN57" s="573">
        <f t="shared" si="7"/>
        <v>0</v>
      </c>
      <c r="AO57" s="574"/>
      <c r="AP57" s="574"/>
      <c r="AQ57" s="574"/>
      <c r="AR57" s="574"/>
      <c r="AS57" s="574"/>
      <c r="AT57" s="574"/>
      <c r="AU57" s="574"/>
      <c r="AV57" s="574"/>
      <c r="AW57" s="574"/>
      <c r="AX57" s="565"/>
      <c r="AY57" s="565"/>
      <c r="AZ57" s="565"/>
    </row>
    <row r="58" spans="1:52" ht="15" hidden="1" outlineLevel="1" x14ac:dyDescent="0.25">
      <c r="A58" s="557" t="str">
        <f t="shared" si="6"/>
        <v>1</v>
      </c>
      <c r="B58" s="595" t="s">
        <v>707</v>
      </c>
      <c r="C58" s="567"/>
      <c r="D58" s="567" t="s">
        <v>708</v>
      </c>
      <c r="L58" s="568" t="s">
        <v>709</v>
      </c>
      <c r="M58" s="578" t="s">
        <v>710</v>
      </c>
      <c r="N58" s="570" t="s">
        <v>106</v>
      </c>
      <c r="O58" s="587">
        <v>0</v>
      </c>
      <c r="P58" s="587">
        <v>52.069999999999993</v>
      </c>
      <c r="Q58" s="587">
        <v>0</v>
      </c>
      <c r="R58" s="573">
        <v>-52.069999999999993</v>
      </c>
      <c r="S58" s="587">
        <v>0</v>
      </c>
      <c r="T58" s="587">
        <v>65.34</v>
      </c>
      <c r="U58" s="574"/>
      <c r="V58" s="574"/>
      <c r="W58" s="574"/>
      <c r="X58" s="574"/>
      <c r="Y58" s="574"/>
      <c r="Z58" s="574"/>
      <c r="AA58" s="574"/>
      <c r="AB58" s="574"/>
      <c r="AC58" s="574"/>
      <c r="AD58" s="587">
        <v>51.289932006400001</v>
      </c>
      <c r="AE58" s="574"/>
      <c r="AF58" s="574"/>
      <c r="AG58" s="574"/>
      <c r="AH58" s="574"/>
      <c r="AI58" s="574"/>
      <c r="AJ58" s="574"/>
      <c r="AK58" s="574"/>
      <c r="AL58" s="574"/>
      <c r="AM58" s="574"/>
      <c r="AN58" s="573">
        <f t="shared" si="7"/>
        <v>0</v>
      </c>
      <c r="AO58" s="574"/>
      <c r="AP58" s="574"/>
      <c r="AQ58" s="574"/>
      <c r="AR58" s="574"/>
      <c r="AS58" s="574"/>
      <c r="AT58" s="574"/>
      <c r="AU58" s="574"/>
      <c r="AV58" s="574"/>
      <c r="AW58" s="574"/>
      <c r="AX58" s="565"/>
      <c r="AY58" s="565"/>
      <c r="AZ58" s="565"/>
    </row>
    <row r="59" spans="1:52" ht="15" hidden="1" outlineLevel="1" x14ac:dyDescent="0.25">
      <c r="A59" s="557" t="str">
        <f t="shared" si="6"/>
        <v>1</v>
      </c>
      <c r="B59" s="595" t="s">
        <v>711</v>
      </c>
      <c r="C59" s="567"/>
      <c r="D59" s="567" t="s">
        <v>712</v>
      </c>
      <c r="L59" s="568" t="s">
        <v>713</v>
      </c>
      <c r="M59" s="584" t="s">
        <v>714</v>
      </c>
      <c r="N59" s="570" t="s">
        <v>106</v>
      </c>
      <c r="O59" s="587">
        <v>0</v>
      </c>
      <c r="P59" s="587">
        <v>16.91</v>
      </c>
      <c r="Q59" s="587">
        <v>0</v>
      </c>
      <c r="R59" s="573">
        <v>-16.91</v>
      </c>
      <c r="S59" s="587">
        <v>0</v>
      </c>
      <c r="T59" s="587">
        <v>16.91</v>
      </c>
      <c r="U59" s="574"/>
      <c r="V59" s="574"/>
      <c r="W59" s="574"/>
      <c r="X59" s="574"/>
      <c r="Y59" s="574"/>
      <c r="Z59" s="574"/>
      <c r="AA59" s="574"/>
      <c r="AB59" s="574"/>
      <c r="AC59" s="574"/>
      <c r="AD59" s="587">
        <v>2.8599320064000007</v>
      </c>
      <c r="AE59" s="574"/>
      <c r="AF59" s="574"/>
      <c r="AG59" s="574"/>
      <c r="AH59" s="574"/>
      <c r="AI59" s="574"/>
      <c r="AJ59" s="574"/>
      <c r="AK59" s="574"/>
      <c r="AL59" s="574"/>
      <c r="AM59" s="574"/>
      <c r="AN59" s="573">
        <f t="shared" si="7"/>
        <v>0</v>
      </c>
      <c r="AO59" s="574"/>
      <c r="AP59" s="574"/>
      <c r="AQ59" s="574"/>
      <c r="AR59" s="574"/>
      <c r="AS59" s="574"/>
      <c r="AT59" s="574"/>
      <c r="AU59" s="574"/>
      <c r="AV59" s="574"/>
      <c r="AW59" s="574"/>
      <c r="AX59" s="565"/>
      <c r="AY59" s="565"/>
      <c r="AZ59" s="565"/>
    </row>
    <row r="60" spans="1:52" ht="15" hidden="1" outlineLevel="1" x14ac:dyDescent="0.25">
      <c r="A60" s="557" t="str">
        <f t="shared" si="6"/>
        <v>1</v>
      </c>
      <c r="B60" s="595" t="s">
        <v>715</v>
      </c>
      <c r="C60" s="567"/>
      <c r="D60" s="567" t="s">
        <v>716</v>
      </c>
      <c r="L60" s="568" t="s">
        <v>717</v>
      </c>
      <c r="M60" s="584" t="s">
        <v>718</v>
      </c>
      <c r="N60" s="570" t="s">
        <v>106</v>
      </c>
      <c r="O60" s="587">
        <v>0</v>
      </c>
      <c r="P60" s="587">
        <v>0</v>
      </c>
      <c r="Q60" s="587">
        <v>0</v>
      </c>
      <c r="R60" s="573">
        <v>0</v>
      </c>
      <c r="S60" s="587">
        <v>0</v>
      </c>
      <c r="T60" s="587">
        <v>0</v>
      </c>
      <c r="U60" s="574"/>
      <c r="V60" s="574"/>
      <c r="W60" s="574"/>
      <c r="X60" s="574"/>
      <c r="Y60" s="574"/>
      <c r="Z60" s="574"/>
      <c r="AA60" s="574"/>
      <c r="AB60" s="574"/>
      <c r="AC60" s="574"/>
      <c r="AD60" s="587">
        <v>0</v>
      </c>
      <c r="AE60" s="574"/>
      <c r="AF60" s="574"/>
      <c r="AG60" s="574"/>
      <c r="AH60" s="574"/>
      <c r="AI60" s="574"/>
      <c r="AJ60" s="574"/>
      <c r="AK60" s="574"/>
      <c r="AL60" s="574"/>
      <c r="AM60" s="574"/>
      <c r="AN60" s="573">
        <f t="shared" si="7"/>
        <v>0</v>
      </c>
      <c r="AO60" s="574"/>
      <c r="AP60" s="574"/>
      <c r="AQ60" s="574"/>
      <c r="AR60" s="574"/>
      <c r="AS60" s="574"/>
      <c r="AT60" s="574"/>
      <c r="AU60" s="574"/>
      <c r="AV60" s="574"/>
      <c r="AW60" s="574"/>
      <c r="AX60" s="565"/>
      <c r="AY60" s="565"/>
      <c r="AZ60" s="565"/>
    </row>
    <row r="61" spans="1:52" ht="12.75" hidden="1" outlineLevel="1" x14ac:dyDescent="0.2">
      <c r="A61" s="557" t="str">
        <f t="shared" si="6"/>
        <v>1</v>
      </c>
      <c r="B61" s="537" t="s">
        <v>719</v>
      </c>
      <c r="C61" s="567"/>
      <c r="D61" s="567" t="s">
        <v>720</v>
      </c>
      <c r="L61" s="568" t="s">
        <v>721</v>
      </c>
      <c r="M61" s="581" t="s">
        <v>722</v>
      </c>
      <c r="N61" s="570" t="s">
        <v>106</v>
      </c>
      <c r="O61" s="587">
        <v>0</v>
      </c>
      <c r="P61" s="587">
        <v>35.159999999999997</v>
      </c>
      <c r="Q61" s="587">
        <v>0</v>
      </c>
      <c r="R61" s="573">
        <v>-35.159999999999997</v>
      </c>
      <c r="S61" s="587">
        <v>0</v>
      </c>
      <c r="T61" s="587">
        <v>48.43</v>
      </c>
      <c r="U61" s="574"/>
      <c r="V61" s="574"/>
      <c r="W61" s="574"/>
      <c r="X61" s="574"/>
      <c r="Y61" s="574"/>
      <c r="Z61" s="574"/>
      <c r="AA61" s="574"/>
      <c r="AB61" s="574"/>
      <c r="AC61" s="574"/>
      <c r="AD61" s="587">
        <v>48.43</v>
      </c>
      <c r="AE61" s="574"/>
      <c r="AF61" s="574"/>
      <c r="AG61" s="574"/>
      <c r="AH61" s="574"/>
      <c r="AI61" s="574"/>
      <c r="AJ61" s="574"/>
      <c r="AK61" s="574"/>
      <c r="AL61" s="574"/>
      <c r="AM61" s="574"/>
      <c r="AN61" s="573">
        <f>IF(S61=0,0,(AD61-S61)/S61*100)</f>
        <v>0</v>
      </c>
      <c r="AO61" s="574"/>
      <c r="AP61" s="574"/>
      <c r="AQ61" s="574"/>
      <c r="AR61" s="574"/>
      <c r="AS61" s="574"/>
      <c r="AT61" s="574"/>
      <c r="AU61" s="574"/>
      <c r="AV61" s="574"/>
      <c r="AW61" s="574"/>
      <c r="AX61" s="565"/>
      <c r="AY61" s="565"/>
      <c r="AZ61" s="565"/>
    </row>
    <row r="62" spans="1:52" ht="22.5" hidden="1" outlineLevel="1" x14ac:dyDescent="0.2">
      <c r="A62" s="557" t="str">
        <f t="shared" si="6"/>
        <v>1</v>
      </c>
      <c r="C62" s="567"/>
      <c r="D62" s="567" t="s">
        <v>723</v>
      </c>
      <c r="L62" s="568" t="s">
        <v>23</v>
      </c>
      <c r="M62" s="569" t="s">
        <v>724</v>
      </c>
      <c r="N62" s="570" t="s">
        <v>106</v>
      </c>
      <c r="O62" s="587">
        <v>0</v>
      </c>
      <c r="P62" s="587">
        <v>0</v>
      </c>
      <c r="Q62" s="587">
        <v>0</v>
      </c>
      <c r="R62" s="573">
        <v>0</v>
      </c>
      <c r="S62" s="587">
        <v>0</v>
      </c>
      <c r="T62" s="587">
        <v>0</v>
      </c>
      <c r="U62" s="574"/>
      <c r="V62" s="574"/>
      <c r="W62" s="574"/>
      <c r="X62" s="574"/>
      <c r="Y62" s="574"/>
      <c r="Z62" s="574"/>
      <c r="AA62" s="574"/>
      <c r="AB62" s="574"/>
      <c r="AC62" s="574"/>
      <c r="AD62" s="587">
        <v>0</v>
      </c>
      <c r="AE62" s="574"/>
      <c r="AF62" s="574"/>
      <c r="AG62" s="574"/>
      <c r="AH62" s="574"/>
      <c r="AI62" s="574"/>
      <c r="AJ62" s="574"/>
      <c r="AK62" s="574"/>
      <c r="AL62" s="574"/>
      <c r="AM62" s="574"/>
      <c r="AN62" s="573">
        <f>IF(S62=0,0,(AD62-S62)/S62*100)</f>
        <v>0</v>
      </c>
      <c r="AO62" s="574"/>
      <c r="AP62" s="574"/>
      <c r="AQ62" s="574"/>
      <c r="AR62" s="574"/>
      <c r="AS62" s="574"/>
      <c r="AT62" s="574"/>
      <c r="AU62" s="574"/>
      <c r="AV62" s="574"/>
      <c r="AW62" s="574"/>
      <c r="AX62" s="565"/>
      <c r="AY62" s="565"/>
      <c r="AZ62" s="565"/>
    </row>
    <row r="63" spans="1:52" ht="11.25" hidden="1" outlineLevel="1" x14ac:dyDescent="0.2">
      <c r="A63" s="557" t="str">
        <f t="shared" si="6"/>
        <v>1</v>
      </c>
      <c r="C63" s="567"/>
      <c r="D63" s="567" t="s">
        <v>725</v>
      </c>
      <c r="L63" s="568" t="s">
        <v>25</v>
      </c>
      <c r="M63" s="569" t="s">
        <v>726</v>
      </c>
      <c r="N63" s="570" t="s">
        <v>106</v>
      </c>
      <c r="O63" s="583"/>
      <c r="P63" s="583"/>
      <c r="Q63" s="583"/>
      <c r="R63" s="573">
        <v>0</v>
      </c>
      <c r="S63" s="583"/>
      <c r="T63" s="583"/>
      <c r="U63" s="574"/>
      <c r="V63" s="574"/>
      <c r="W63" s="574"/>
      <c r="X63" s="574"/>
      <c r="Y63" s="574"/>
      <c r="Z63" s="574"/>
      <c r="AA63" s="574"/>
      <c r="AB63" s="574"/>
      <c r="AC63" s="574"/>
      <c r="AD63" s="583"/>
      <c r="AE63" s="574"/>
      <c r="AF63" s="574"/>
      <c r="AG63" s="574"/>
      <c r="AH63" s="574"/>
      <c r="AI63" s="574"/>
      <c r="AJ63" s="574"/>
      <c r="AK63" s="574"/>
      <c r="AL63" s="574"/>
      <c r="AM63" s="574"/>
      <c r="AN63" s="573">
        <f t="shared" si="7"/>
        <v>0</v>
      </c>
      <c r="AO63" s="574"/>
      <c r="AP63" s="574"/>
      <c r="AQ63" s="574"/>
      <c r="AR63" s="574"/>
      <c r="AS63" s="574"/>
      <c r="AT63" s="574"/>
      <c r="AU63" s="574"/>
      <c r="AV63" s="574"/>
      <c r="AW63" s="574"/>
      <c r="AX63" s="565"/>
      <c r="AY63" s="565"/>
      <c r="AZ63" s="565"/>
    </row>
    <row r="64" spans="1:52" s="590" customFormat="1" ht="11.25" hidden="1" outlineLevel="1" x14ac:dyDescent="0.2">
      <c r="A64" s="557" t="str">
        <f t="shared" si="6"/>
        <v>1</v>
      </c>
      <c r="C64" s="567"/>
      <c r="D64" s="567" t="s">
        <v>727</v>
      </c>
      <c r="L64" s="591" t="s">
        <v>62</v>
      </c>
      <c r="M64" s="592" t="s">
        <v>728</v>
      </c>
      <c r="N64" s="593" t="s">
        <v>106</v>
      </c>
      <c r="O64" s="594">
        <v>0</v>
      </c>
      <c r="P64" s="594">
        <v>0</v>
      </c>
      <c r="Q64" s="594">
        <v>0</v>
      </c>
      <c r="R64" s="563">
        <v>0</v>
      </c>
      <c r="S64" s="594">
        <v>0</v>
      </c>
      <c r="T64" s="594">
        <v>0</v>
      </c>
      <c r="U64" s="576"/>
      <c r="V64" s="576"/>
      <c r="W64" s="576"/>
      <c r="X64" s="576"/>
      <c r="Y64" s="576"/>
      <c r="Z64" s="576"/>
      <c r="AA64" s="576"/>
      <c r="AB64" s="576"/>
      <c r="AC64" s="576"/>
      <c r="AD64" s="594">
        <v>0</v>
      </c>
      <c r="AE64" s="576"/>
      <c r="AF64" s="576"/>
      <c r="AG64" s="576"/>
      <c r="AH64" s="576"/>
      <c r="AI64" s="576"/>
      <c r="AJ64" s="576"/>
      <c r="AK64" s="576"/>
      <c r="AL64" s="576"/>
      <c r="AM64" s="576"/>
      <c r="AN64" s="563">
        <f>IF(S64=0,0,(AD64-S64)/S64*100)</f>
        <v>0</v>
      </c>
      <c r="AO64" s="576"/>
      <c r="AP64" s="576"/>
      <c r="AQ64" s="576"/>
      <c r="AR64" s="576"/>
      <c r="AS64" s="576"/>
      <c r="AT64" s="576"/>
      <c r="AU64" s="576"/>
      <c r="AV64" s="576"/>
      <c r="AW64" s="576"/>
      <c r="AX64" s="577"/>
      <c r="AY64" s="577"/>
      <c r="AZ64" s="577"/>
    </row>
    <row r="65" spans="1:53" ht="11.25" hidden="1" outlineLevel="1" x14ac:dyDescent="0.2">
      <c r="A65" s="557" t="str">
        <f t="shared" si="6"/>
        <v>1</v>
      </c>
      <c r="L65" s="568" t="s">
        <v>729</v>
      </c>
      <c r="M65" s="569"/>
      <c r="N65" s="570"/>
      <c r="O65" s="574"/>
      <c r="P65" s="574"/>
      <c r="Q65" s="574"/>
      <c r="R65" s="574"/>
      <c r="S65" s="574"/>
      <c r="T65" s="574"/>
      <c r="U65" s="574"/>
      <c r="V65" s="574"/>
      <c r="W65" s="574"/>
      <c r="X65" s="574"/>
      <c r="Y65" s="574"/>
      <c r="Z65" s="574"/>
      <c r="AA65" s="574"/>
      <c r="AB65" s="574"/>
      <c r="AC65" s="574"/>
      <c r="AD65" s="574"/>
      <c r="AE65" s="574"/>
      <c r="AF65" s="574"/>
      <c r="AG65" s="574"/>
      <c r="AH65" s="574"/>
      <c r="AI65" s="574"/>
      <c r="AJ65" s="574"/>
      <c r="AK65" s="574"/>
      <c r="AL65" s="574"/>
      <c r="AM65" s="574"/>
      <c r="AN65" s="574"/>
      <c r="AO65" s="574"/>
      <c r="AP65" s="574"/>
      <c r="AQ65" s="574"/>
      <c r="AR65" s="574"/>
      <c r="AS65" s="574"/>
      <c r="AT65" s="574"/>
      <c r="AU65" s="574"/>
      <c r="AV65" s="574"/>
      <c r="AW65" s="574"/>
      <c r="AX65" s="597"/>
      <c r="AY65" s="597"/>
      <c r="AZ65" s="597"/>
    </row>
    <row r="66" spans="1:53" ht="15" hidden="1" outlineLevel="1" x14ac:dyDescent="0.2">
      <c r="A66" s="557" t="str">
        <f t="shared" si="6"/>
        <v>1</v>
      </c>
      <c r="B66" s="598"/>
      <c r="D66" s="537" t="str">
        <f>A66&amp;"pIns1"</f>
        <v>1pIns1</v>
      </c>
      <c r="L66" s="599"/>
      <c r="M66" s="600" t="s">
        <v>730</v>
      </c>
      <c r="N66" s="601"/>
      <c r="O66" s="601"/>
      <c r="P66" s="601"/>
      <c r="Q66" s="601"/>
      <c r="R66" s="601"/>
      <c r="S66" s="601"/>
      <c r="T66" s="601"/>
      <c r="U66" s="601"/>
      <c r="V66" s="601"/>
      <c r="W66" s="601"/>
      <c r="X66" s="601"/>
      <c r="Y66" s="601"/>
      <c r="Z66" s="601"/>
      <c r="AA66" s="601"/>
      <c r="AB66" s="601"/>
      <c r="AC66" s="601"/>
      <c r="AD66" s="601"/>
      <c r="AE66" s="601"/>
      <c r="AF66" s="601"/>
      <c r="AG66" s="601"/>
      <c r="AH66" s="601"/>
      <c r="AI66" s="601"/>
      <c r="AJ66" s="601"/>
      <c r="AK66" s="601"/>
      <c r="AL66" s="601"/>
      <c r="AM66" s="601"/>
      <c r="AN66" s="601"/>
      <c r="AO66" s="601"/>
      <c r="AP66" s="601"/>
      <c r="AQ66" s="601"/>
      <c r="AR66" s="601"/>
      <c r="AS66" s="601"/>
      <c r="AT66" s="601"/>
      <c r="AU66" s="601"/>
      <c r="AV66" s="601"/>
      <c r="AW66" s="601"/>
      <c r="AX66" s="601"/>
      <c r="AY66" s="601"/>
      <c r="AZ66" s="602"/>
    </row>
    <row r="67" spans="1:53" s="590" customFormat="1" ht="11.25" hidden="1" outlineLevel="1" x14ac:dyDescent="0.2">
      <c r="A67" s="557" t="str">
        <f t="shared" si="6"/>
        <v>1</v>
      </c>
      <c r="C67" s="537"/>
      <c r="D67" s="537" t="s">
        <v>731</v>
      </c>
      <c r="L67" s="560" t="s">
        <v>102</v>
      </c>
      <c r="M67" s="561" t="s">
        <v>121</v>
      </c>
      <c r="N67" s="562" t="s">
        <v>106</v>
      </c>
      <c r="O67" s="594">
        <v>307.08999999999997</v>
      </c>
      <c r="P67" s="594">
        <v>51.25</v>
      </c>
      <c r="Q67" s="594">
        <v>35.92</v>
      </c>
      <c r="R67" s="563">
        <v>-15.329999999999998</v>
      </c>
      <c r="S67" s="594">
        <v>10.01</v>
      </c>
      <c r="T67" s="594">
        <v>26.8</v>
      </c>
      <c r="U67" s="594">
        <v>26.8</v>
      </c>
      <c r="V67" s="594">
        <v>27.1</v>
      </c>
      <c r="W67" s="594">
        <v>27.1</v>
      </c>
      <c r="X67" s="594">
        <v>27.3</v>
      </c>
      <c r="Y67" s="594">
        <v>0</v>
      </c>
      <c r="Z67" s="594">
        <v>0</v>
      </c>
      <c r="AA67" s="594">
        <v>0</v>
      </c>
      <c r="AB67" s="594">
        <v>0</v>
      </c>
      <c r="AC67" s="594">
        <v>0</v>
      </c>
      <c r="AD67" s="594">
        <v>39.909999999999997</v>
      </c>
      <c r="AE67" s="594">
        <v>42.379999999999995</v>
      </c>
      <c r="AF67" s="594">
        <v>43.620000000000005</v>
      </c>
      <c r="AG67" s="594">
        <v>44.769999999999996</v>
      </c>
      <c r="AH67" s="594">
        <v>47.650000000000006</v>
      </c>
      <c r="AI67" s="594" t="e">
        <f t="shared" ref="AI67:AM67" si="8">AI68+AI79+AI80++AI90+AI91+AI92+AI94+AI95+AI96+AI97+AI100</f>
        <v>#VALUE!</v>
      </c>
      <c r="AJ67" s="594" t="e">
        <f t="shared" si="8"/>
        <v>#VALUE!</v>
      </c>
      <c r="AK67" s="594" t="e">
        <f t="shared" si="8"/>
        <v>#VALUE!</v>
      </c>
      <c r="AL67" s="594" t="e">
        <f t="shared" si="8"/>
        <v>#VALUE!</v>
      </c>
      <c r="AM67" s="594" t="e">
        <f t="shared" si="8"/>
        <v>#VALUE!</v>
      </c>
      <c r="AN67" s="563">
        <f t="shared" ref="AN67:AN73" si="9">IF(S67=0,0,(AD67-S67)/S67*100)</f>
        <v>298.7012987012987</v>
      </c>
      <c r="AO67" s="563">
        <f t="shared" ref="AO67:AW82" si="10">IF(AD67=0,0,(AE67-AD67)/AD67*100)</f>
        <v>6.1889250814332231</v>
      </c>
      <c r="AP67" s="563">
        <f t="shared" si="10"/>
        <v>2.9259084473808619</v>
      </c>
      <c r="AQ67" s="563">
        <f t="shared" si="10"/>
        <v>2.6364053186611445</v>
      </c>
      <c r="AR67" s="563">
        <f t="shared" si="10"/>
        <v>6.4328791601519093</v>
      </c>
      <c r="AS67" s="563" t="e">
        <f t="shared" si="10"/>
        <v>#VALUE!</v>
      </c>
      <c r="AT67" s="563" t="e">
        <f t="shared" si="10"/>
        <v>#VALUE!</v>
      </c>
      <c r="AU67" s="563" t="e">
        <f t="shared" si="10"/>
        <v>#VALUE!</v>
      </c>
      <c r="AV67" s="563" t="e">
        <f t="shared" si="10"/>
        <v>#VALUE!</v>
      </c>
      <c r="AW67" s="563" t="e">
        <f t="shared" si="10"/>
        <v>#VALUE!</v>
      </c>
      <c r="AX67" s="565"/>
      <c r="AY67" s="565"/>
      <c r="AZ67" s="565"/>
      <c r="BA67" s="566"/>
    </row>
    <row r="68" spans="1:53" s="590" customFormat="1" ht="22.5" hidden="1" outlineLevel="1" x14ac:dyDescent="0.2">
      <c r="A68" s="557" t="str">
        <f t="shared" si="6"/>
        <v>1</v>
      </c>
      <c r="C68" s="537"/>
      <c r="D68" s="537" t="s">
        <v>732</v>
      </c>
      <c r="L68" s="591" t="s">
        <v>478</v>
      </c>
      <c r="M68" s="592" t="s">
        <v>123</v>
      </c>
      <c r="N68" s="593" t="s">
        <v>106</v>
      </c>
      <c r="O68" s="594">
        <v>0</v>
      </c>
      <c r="P68" s="563">
        <v>0</v>
      </c>
      <c r="Q68" s="563">
        <v>0</v>
      </c>
      <c r="R68" s="563">
        <v>0</v>
      </c>
      <c r="S68" s="563">
        <v>0</v>
      </c>
      <c r="T68" s="594">
        <v>0</v>
      </c>
      <c r="U68" s="563">
        <v>0</v>
      </c>
      <c r="V68" s="563">
        <v>0</v>
      </c>
      <c r="W68" s="563">
        <v>0</v>
      </c>
      <c r="X68" s="563">
        <v>0</v>
      </c>
      <c r="Y68" s="563">
        <v>0</v>
      </c>
      <c r="Z68" s="563">
        <v>0</v>
      </c>
      <c r="AA68" s="563">
        <v>0</v>
      </c>
      <c r="AB68" s="563">
        <v>0</v>
      </c>
      <c r="AC68" s="563">
        <v>0</v>
      </c>
      <c r="AD68" s="594">
        <v>0</v>
      </c>
      <c r="AE68" s="563">
        <v>0</v>
      </c>
      <c r="AF68" s="563">
        <v>0</v>
      </c>
      <c r="AG68" s="563">
        <v>0</v>
      </c>
      <c r="AH68" s="563">
        <v>0</v>
      </c>
      <c r="AI68" s="563">
        <f t="shared" ref="AI68:AM68" si="11">SUM(AI69:AI78)</f>
        <v>0</v>
      </c>
      <c r="AJ68" s="563">
        <f t="shared" si="11"/>
        <v>0</v>
      </c>
      <c r="AK68" s="563">
        <f t="shared" si="11"/>
        <v>0</v>
      </c>
      <c r="AL68" s="563">
        <f t="shared" si="11"/>
        <v>0</v>
      </c>
      <c r="AM68" s="563">
        <f t="shared" si="11"/>
        <v>0</v>
      </c>
      <c r="AN68" s="563">
        <f t="shared" si="9"/>
        <v>0</v>
      </c>
      <c r="AO68" s="563">
        <f t="shared" si="10"/>
        <v>0</v>
      </c>
      <c r="AP68" s="563">
        <f t="shared" si="10"/>
        <v>0</v>
      </c>
      <c r="AQ68" s="563">
        <f t="shared" si="10"/>
        <v>0</v>
      </c>
      <c r="AR68" s="563">
        <f t="shared" si="10"/>
        <v>0</v>
      </c>
      <c r="AS68" s="563">
        <f t="shared" si="10"/>
        <v>0</v>
      </c>
      <c r="AT68" s="563">
        <f t="shared" si="10"/>
        <v>0</v>
      </c>
      <c r="AU68" s="563">
        <f t="shared" si="10"/>
        <v>0</v>
      </c>
      <c r="AV68" s="563">
        <f t="shared" si="10"/>
        <v>0</v>
      </c>
      <c r="AW68" s="563">
        <f t="shared" si="10"/>
        <v>0</v>
      </c>
      <c r="AX68" s="577"/>
      <c r="AY68" s="577"/>
      <c r="AZ68" s="577"/>
    </row>
    <row r="69" spans="1:53" ht="11.25" hidden="1" outlineLevel="1" x14ac:dyDescent="0.2">
      <c r="A69" s="557" t="str">
        <f t="shared" si="6"/>
        <v>1</v>
      </c>
      <c r="B69" s="537" t="s">
        <v>733</v>
      </c>
      <c r="D69" s="537" t="s">
        <v>734</v>
      </c>
      <c r="L69" s="568" t="s">
        <v>735</v>
      </c>
      <c r="M69" s="578" t="s">
        <v>736</v>
      </c>
      <c r="N69" s="570" t="s">
        <v>106</v>
      </c>
      <c r="O69" s="573">
        <v>0</v>
      </c>
      <c r="P69" s="573">
        <v>0</v>
      </c>
      <c r="Q69" s="573">
        <v>0</v>
      </c>
      <c r="R69" s="573">
        <v>0</v>
      </c>
      <c r="S69" s="573">
        <v>0</v>
      </c>
      <c r="T69" s="573">
        <v>0</v>
      </c>
      <c r="U69" s="573">
        <v>0</v>
      </c>
      <c r="V69" s="573">
        <v>0</v>
      </c>
      <c r="W69" s="573">
        <v>0</v>
      </c>
      <c r="X69" s="573">
        <v>0</v>
      </c>
      <c r="Y69" s="573">
        <v>0</v>
      </c>
      <c r="Z69" s="573">
        <v>0</v>
      </c>
      <c r="AA69" s="573">
        <v>0</v>
      </c>
      <c r="AB69" s="573">
        <v>0</v>
      </c>
      <c r="AC69" s="573">
        <v>0</v>
      </c>
      <c r="AD69" s="573">
        <v>0</v>
      </c>
      <c r="AE69" s="573">
        <v>0</v>
      </c>
      <c r="AF69" s="573">
        <v>0</v>
      </c>
      <c r="AG69" s="573">
        <v>0</v>
      </c>
      <c r="AH69" s="573">
        <v>0</v>
      </c>
      <c r="AI69" s="573">
        <f>SUMIFS([12]Покупка!AH$15:AH$54,[12]Покупка!$A$15:$A$54,$A69,[12]Покупка!$M$15:$M$54,$B69)</f>
        <v>0</v>
      </c>
      <c r="AJ69" s="573">
        <f>SUMIFS([12]Покупка!AI$15:AI$54,[12]Покупка!$A$15:$A$54,$A69,[12]Покупка!$M$15:$M$54,$B69)</f>
        <v>0</v>
      </c>
      <c r="AK69" s="573">
        <f>SUMIFS([12]Покупка!AJ$15:AJ$54,[12]Покупка!$A$15:$A$54,$A69,[12]Покупка!$M$15:$M$54,$B69)</f>
        <v>0</v>
      </c>
      <c r="AL69" s="573">
        <f>SUMIFS([12]Покупка!AK$15:AK$54,[12]Покупка!$A$15:$A$54,$A69,[12]Покупка!$M$15:$M$54,$B69)</f>
        <v>0</v>
      </c>
      <c r="AM69" s="573">
        <f>SUMIFS([12]Покупка!AL$15:AL$54,[12]Покупка!$A$15:$A$54,$A69,[12]Покупка!$M$15:$M$54,$B69)</f>
        <v>0</v>
      </c>
      <c r="AN69" s="573">
        <f t="shared" si="9"/>
        <v>0</v>
      </c>
      <c r="AO69" s="573">
        <f t="shared" si="10"/>
        <v>0</v>
      </c>
      <c r="AP69" s="573">
        <f t="shared" si="10"/>
        <v>0</v>
      </c>
      <c r="AQ69" s="573">
        <f t="shared" si="10"/>
        <v>0</v>
      </c>
      <c r="AR69" s="573">
        <f t="shared" si="10"/>
        <v>0</v>
      </c>
      <c r="AS69" s="573">
        <f t="shared" si="10"/>
        <v>0</v>
      </c>
      <c r="AT69" s="573">
        <f t="shared" si="10"/>
        <v>0</v>
      </c>
      <c r="AU69" s="573">
        <f t="shared" si="10"/>
        <v>0</v>
      </c>
      <c r="AV69" s="573">
        <f t="shared" si="10"/>
        <v>0</v>
      </c>
      <c r="AW69" s="573">
        <f t="shared" si="10"/>
        <v>0</v>
      </c>
      <c r="AX69" s="565"/>
      <c r="AY69" s="565"/>
      <c r="AZ69" s="565"/>
    </row>
    <row r="70" spans="1:53" ht="11.25" hidden="1" outlineLevel="1" x14ac:dyDescent="0.2">
      <c r="A70" s="557" t="str">
        <f t="shared" si="6"/>
        <v>1</v>
      </c>
      <c r="B70" s="537" t="s">
        <v>737</v>
      </c>
      <c r="D70" s="537" t="s">
        <v>738</v>
      </c>
      <c r="L70" s="568" t="s">
        <v>739</v>
      </c>
      <c r="M70" s="578" t="s">
        <v>740</v>
      </c>
      <c r="N70" s="570" t="s">
        <v>106</v>
      </c>
      <c r="O70" s="573">
        <v>0</v>
      </c>
      <c r="P70" s="573">
        <v>0</v>
      </c>
      <c r="Q70" s="573">
        <v>0</v>
      </c>
      <c r="R70" s="573">
        <v>0</v>
      </c>
      <c r="S70" s="573">
        <v>0</v>
      </c>
      <c r="T70" s="573">
        <v>0</v>
      </c>
      <c r="U70" s="573">
        <v>0</v>
      </c>
      <c r="V70" s="573">
        <v>0</v>
      </c>
      <c r="W70" s="573">
        <v>0</v>
      </c>
      <c r="X70" s="573">
        <v>0</v>
      </c>
      <c r="Y70" s="573">
        <v>0</v>
      </c>
      <c r="Z70" s="573">
        <v>0</v>
      </c>
      <c r="AA70" s="573">
        <v>0</v>
      </c>
      <c r="AB70" s="573">
        <v>0</v>
      </c>
      <c r="AC70" s="573">
        <v>0</v>
      </c>
      <c r="AD70" s="573">
        <v>0</v>
      </c>
      <c r="AE70" s="573">
        <v>0</v>
      </c>
      <c r="AF70" s="573">
        <v>0</v>
      </c>
      <c r="AG70" s="573">
        <v>0</v>
      </c>
      <c r="AH70" s="573">
        <v>0</v>
      </c>
      <c r="AI70" s="573">
        <f>SUMIFS([12]Покупка!AH$15:AH$54,[12]Покупка!$A$15:$A$54,$A70,[12]Покупка!$M$15:$M$54,$B70)</f>
        <v>0</v>
      </c>
      <c r="AJ70" s="573">
        <f>SUMIFS([12]Покупка!AI$15:AI$54,[12]Покупка!$A$15:$A$54,$A70,[12]Покупка!$M$15:$M$54,$B70)</f>
        <v>0</v>
      </c>
      <c r="AK70" s="573">
        <f>SUMIFS([12]Покупка!AJ$15:AJ$54,[12]Покупка!$A$15:$A$54,$A70,[12]Покупка!$M$15:$M$54,$B70)</f>
        <v>0</v>
      </c>
      <c r="AL70" s="573">
        <f>SUMIFS([12]Покупка!AK$15:AK$54,[12]Покупка!$A$15:$A$54,$A70,[12]Покупка!$M$15:$M$54,$B70)</f>
        <v>0</v>
      </c>
      <c r="AM70" s="573">
        <f>SUMIFS([12]Покупка!AL$15:AL$54,[12]Покупка!$A$15:$A$54,$A70,[12]Покупка!$M$15:$M$54,$B70)</f>
        <v>0</v>
      </c>
      <c r="AN70" s="573">
        <f t="shared" si="9"/>
        <v>0</v>
      </c>
      <c r="AO70" s="573">
        <f t="shared" si="10"/>
        <v>0</v>
      </c>
      <c r="AP70" s="573">
        <f t="shared" si="10"/>
        <v>0</v>
      </c>
      <c r="AQ70" s="573">
        <f t="shared" si="10"/>
        <v>0</v>
      </c>
      <c r="AR70" s="573">
        <f t="shared" si="10"/>
        <v>0</v>
      </c>
      <c r="AS70" s="573">
        <f t="shared" si="10"/>
        <v>0</v>
      </c>
      <c r="AT70" s="573">
        <f t="shared" si="10"/>
        <v>0</v>
      </c>
      <c r="AU70" s="573">
        <f t="shared" si="10"/>
        <v>0</v>
      </c>
      <c r="AV70" s="573">
        <f t="shared" si="10"/>
        <v>0</v>
      </c>
      <c r="AW70" s="573">
        <f t="shared" si="10"/>
        <v>0</v>
      </c>
      <c r="AX70" s="565"/>
      <c r="AY70" s="565"/>
      <c r="AZ70" s="565"/>
    </row>
    <row r="71" spans="1:53" ht="11.25" hidden="1" outlineLevel="1" x14ac:dyDescent="0.2">
      <c r="A71" s="557" t="str">
        <f t="shared" si="6"/>
        <v>1</v>
      </c>
      <c r="B71" s="537" t="s">
        <v>741</v>
      </c>
      <c r="D71" s="537" t="s">
        <v>742</v>
      </c>
      <c r="L71" s="568" t="s">
        <v>743</v>
      </c>
      <c r="M71" s="578" t="s">
        <v>744</v>
      </c>
      <c r="N71" s="570" t="s">
        <v>106</v>
      </c>
      <c r="O71" s="573">
        <v>0</v>
      </c>
      <c r="P71" s="573">
        <v>0</v>
      </c>
      <c r="Q71" s="573">
        <v>0</v>
      </c>
      <c r="R71" s="573">
        <v>0</v>
      </c>
      <c r="S71" s="573">
        <v>0</v>
      </c>
      <c r="T71" s="573">
        <v>0</v>
      </c>
      <c r="U71" s="573">
        <v>0</v>
      </c>
      <c r="V71" s="573">
        <v>0</v>
      </c>
      <c r="W71" s="573">
        <v>0</v>
      </c>
      <c r="X71" s="573">
        <v>0</v>
      </c>
      <c r="Y71" s="573">
        <v>0</v>
      </c>
      <c r="Z71" s="573">
        <v>0</v>
      </c>
      <c r="AA71" s="573">
        <v>0</v>
      </c>
      <c r="AB71" s="573">
        <v>0</v>
      </c>
      <c r="AC71" s="573">
        <v>0</v>
      </c>
      <c r="AD71" s="573">
        <v>0</v>
      </c>
      <c r="AE71" s="573">
        <v>0</v>
      </c>
      <c r="AF71" s="573">
        <v>0</v>
      </c>
      <c r="AG71" s="573">
        <v>0</v>
      </c>
      <c r="AH71" s="573">
        <v>0</v>
      </c>
      <c r="AI71" s="573">
        <f>SUMIFS([12]Покупка!AH$15:AH$54,[12]Покупка!$A$15:$A$54,$A71,[12]Покупка!$M$15:$M$54,$B71)</f>
        <v>0</v>
      </c>
      <c r="AJ71" s="573">
        <f>SUMIFS([12]Покупка!AI$15:AI$54,[12]Покупка!$A$15:$A$54,$A71,[12]Покупка!$M$15:$M$54,$B71)</f>
        <v>0</v>
      </c>
      <c r="AK71" s="573">
        <f>SUMIFS([12]Покупка!AJ$15:AJ$54,[12]Покупка!$A$15:$A$54,$A71,[12]Покупка!$M$15:$M$54,$B71)</f>
        <v>0</v>
      </c>
      <c r="AL71" s="573">
        <f>SUMIFS([12]Покупка!AK$15:AK$54,[12]Покупка!$A$15:$A$54,$A71,[12]Покупка!$M$15:$M$54,$B71)</f>
        <v>0</v>
      </c>
      <c r="AM71" s="573">
        <f>SUMIFS([12]Покупка!AL$15:AL$54,[12]Покупка!$A$15:$A$54,$A71,[12]Покупка!$M$15:$M$54,$B71)</f>
        <v>0</v>
      </c>
      <c r="AN71" s="573">
        <f t="shared" si="9"/>
        <v>0</v>
      </c>
      <c r="AO71" s="573">
        <f t="shared" si="10"/>
        <v>0</v>
      </c>
      <c r="AP71" s="573">
        <f t="shared" si="10"/>
        <v>0</v>
      </c>
      <c r="AQ71" s="573">
        <f t="shared" si="10"/>
        <v>0</v>
      </c>
      <c r="AR71" s="573">
        <f t="shared" si="10"/>
        <v>0</v>
      </c>
      <c r="AS71" s="573">
        <f t="shared" si="10"/>
        <v>0</v>
      </c>
      <c r="AT71" s="573">
        <f t="shared" si="10"/>
        <v>0</v>
      </c>
      <c r="AU71" s="573">
        <f t="shared" si="10"/>
        <v>0</v>
      </c>
      <c r="AV71" s="573">
        <f t="shared" si="10"/>
        <v>0</v>
      </c>
      <c r="AW71" s="573">
        <f t="shared" si="10"/>
        <v>0</v>
      </c>
      <c r="AX71" s="565"/>
      <c r="AY71" s="565"/>
      <c r="AZ71" s="565"/>
    </row>
    <row r="72" spans="1:53" ht="11.25" hidden="1" outlineLevel="1" x14ac:dyDescent="0.2">
      <c r="A72" s="557" t="str">
        <f t="shared" si="6"/>
        <v>1</v>
      </c>
      <c r="B72" s="537" t="s">
        <v>745</v>
      </c>
      <c r="D72" s="537" t="s">
        <v>746</v>
      </c>
      <c r="L72" s="568" t="s">
        <v>747</v>
      </c>
      <c r="M72" s="578" t="s">
        <v>748</v>
      </c>
      <c r="N72" s="570" t="s">
        <v>106</v>
      </c>
      <c r="O72" s="573">
        <v>0</v>
      </c>
      <c r="P72" s="573">
        <v>0</v>
      </c>
      <c r="Q72" s="573">
        <v>0</v>
      </c>
      <c r="R72" s="573">
        <v>0</v>
      </c>
      <c r="S72" s="573">
        <v>0</v>
      </c>
      <c r="T72" s="573">
        <v>0</v>
      </c>
      <c r="U72" s="573">
        <v>0</v>
      </c>
      <c r="V72" s="573">
        <v>0</v>
      </c>
      <c r="W72" s="573">
        <v>0</v>
      </c>
      <c r="X72" s="573">
        <v>0</v>
      </c>
      <c r="Y72" s="573">
        <v>0</v>
      </c>
      <c r="Z72" s="573">
        <v>0</v>
      </c>
      <c r="AA72" s="573">
        <v>0</v>
      </c>
      <c r="AB72" s="573">
        <v>0</v>
      </c>
      <c r="AC72" s="573">
        <v>0</v>
      </c>
      <c r="AD72" s="573">
        <v>0</v>
      </c>
      <c r="AE72" s="573">
        <v>0</v>
      </c>
      <c r="AF72" s="573">
        <v>0</v>
      </c>
      <c r="AG72" s="573">
        <v>0</v>
      </c>
      <c r="AH72" s="573">
        <v>0</v>
      </c>
      <c r="AI72" s="573">
        <f>SUMIFS([12]Покупка!AH$15:AH$54,[12]Покупка!$A$15:$A$54,$A72,[12]Покупка!$M$15:$M$54,$B72)</f>
        <v>0</v>
      </c>
      <c r="AJ72" s="573">
        <f>SUMIFS([12]Покупка!AI$15:AI$54,[12]Покупка!$A$15:$A$54,$A72,[12]Покупка!$M$15:$M$54,$B72)</f>
        <v>0</v>
      </c>
      <c r="AK72" s="573">
        <f>SUMIFS([12]Покупка!AJ$15:AJ$54,[12]Покупка!$A$15:$A$54,$A72,[12]Покупка!$M$15:$M$54,$B72)</f>
        <v>0</v>
      </c>
      <c r="AL72" s="573">
        <f>SUMIFS([12]Покупка!AK$15:AK$54,[12]Покупка!$A$15:$A$54,$A72,[12]Покупка!$M$15:$M$54,$B72)</f>
        <v>0</v>
      </c>
      <c r="AM72" s="573">
        <f>SUMIFS([12]Покупка!AL$15:AL$54,[12]Покупка!$A$15:$A$54,$A72,[12]Покупка!$M$15:$M$54,$B72)</f>
        <v>0</v>
      </c>
      <c r="AN72" s="573">
        <f t="shared" si="9"/>
        <v>0</v>
      </c>
      <c r="AO72" s="573">
        <f t="shared" si="10"/>
        <v>0</v>
      </c>
      <c r="AP72" s="573">
        <f t="shared" si="10"/>
        <v>0</v>
      </c>
      <c r="AQ72" s="573">
        <f t="shared" si="10"/>
        <v>0</v>
      </c>
      <c r="AR72" s="573">
        <f t="shared" si="10"/>
        <v>0</v>
      </c>
      <c r="AS72" s="573">
        <f t="shared" si="10"/>
        <v>0</v>
      </c>
      <c r="AT72" s="573">
        <f t="shared" si="10"/>
        <v>0</v>
      </c>
      <c r="AU72" s="573">
        <f t="shared" si="10"/>
        <v>0</v>
      </c>
      <c r="AV72" s="573">
        <f t="shared" si="10"/>
        <v>0</v>
      </c>
      <c r="AW72" s="573">
        <f t="shared" si="10"/>
        <v>0</v>
      </c>
      <c r="AX72" s="565"/>
      <c r="AY72" s="565"/>
      <c r="AZ72" s="565"/>
    </row>
    <row r="73" spans="1:53" ht="11.25" hidden="1" outlineLevel="1" x14ac:dyDescent="0.2">
      <c r="A73" s="557" t="str">
        <f t="shared" si="6"/>
        <v>1</v>
      </c>
      <c r="B73" s="537" t="s">
        <v>749</v>
      </c>
      <c r="D73" s="537" t="s">
        <v>750</v>
      </c>
      <c r="L73" s="568" t="s">
        <v>751</v>
      </c>
      <c r="M73" s="578" t="s">
        <v>137</v>
      </c>
      <c r="N73" s="570" t="s">
        <v>106</v>
      </c>
      <c r="O73" s="573">
        <v>0</v>
      </c>
      <c r="P73" s="573">
        <v>0</v>
      </c>
      <c r="Q73" s="573">
        <v>0</v>
      </c>
      <c r="R73" s="573">
        <v>0</v>
      </c>
      <c r="S73" s="573">
        <v>0</v>
      </c>
      <c r="T73" s="573">
        <v>0</v>
      </c>
      <c r="U73" s="573">
        <v>0</v>
      </c>
      <c r="V73" s="573">
        <v>0</v>
      </c>
      <c r="W73" s="573">
        <v>0</v>
      </c>
      <c r="X73" s="573">
        <v>0</v>
      </c>
      <c r="Y73" s="573">
        <v>0</v>
      </c>
      <c r="Z73" s="573">
        <v>0</v>
      </c>
      <c r="AA73" s="573">
        <v>0</v>
      </c>
      <c r="AB73" s="573">
        <v>0</v>
      </c>
      <c r="AC73" s="573">
        <v>0</v>
      </c>
      <c r="AD73" s="573">
        <v>0</v>
      </c>
      <c r="AE73" s="573">
        <v>0</v>
      </c>
      <c r="AF73" s="573">
        <v>0</v>
      </c>
      <c r="AG73" s="573">
        <v>0</v>
      </c>
      <c r="AH73" s="573">
        <v>0</v>
      </c>
      <c r="AI73" s="573">
        <f>SUMIFS([12]Покупка!AH$15:AH$54,[12]Покупка!$A$15:$A$54,$A73,[12]Покупка!$M$15:$M$54,$B73)</f>
        <v>0</v>
      </c>
      <c r="AJ73" s="573">
        <f>SUMIFS([12]Покупка!AI$15:AI$54,[12]Покупка!$A$15:$A$54,$A73,[12]Покупка!$M$15:$M$54,$B73)</f>
        <v>0</v>
      </c>
      <c r="AK73" s="573">
        <f>SUMIFS([12]Покупка!AJ$15:AJ$54,[12]Покупка!$A$15:$A$54,$A73,[12]Покупка!$M$15:$M$54,$B73)</f>
        <v>0</v>
      </c>
      <c r="AL73" s="573">
        <f>SUMIFS([12]Покупка!AK$15:AK$54,[12]Покупка!$A$15:$A$54,$A73,[12]Покупка!$M$15:$M$54,$B73)</f>
        <v>0</v>
      </c>
      <c r="AM73" s="573">
        <f>SUMIFS([12]Покупка!AL$15:AL$54,[12]Покупка!$A$15:$A$54,$A73,[12]Покупка!$M$15:$M$54,$B73)</f>
        <v>0</v>
      </c>
      <c r="AN73" s="573">
        <f t="shared" si="9"/>
        <v>0</v>
      </c>
      <c r="AO73" s="573">
        <f t="shared" si="10"/>
        <v>0</v>
      </c>
      <c r="AP73" s="573">
        <f t="shared" si="10"/>
        <v>0</v>
      </c>
      <c r="AQ73" s="573">
        <f t="shared" si="10"/>
        <v>0</v>
      </c>
      <c r="AR73" s="573">
        <f t="shared" si="10"/>
        <v>0</v>
      </c>
      <c r="AS73" s="573">
        <f t="shared" si="10"/>
        <v>0</v>
      </c>
      <c r="AT73" s="573">
        <f t="shared" si="10"/>
        <v>0</v>
      </c>
      <c r="AU73" s="573">
        <f t="shared" si="10"/>
        <v>0</v>
      </c>
      <c r="AV73" s="573">
        <f t="shared" si="10"/>
        <v>0</v>
      </c>
      <c r="AW73" s="573">
        <f t="shared" si="10"/>
        <v>0</v>
      </c>
      <c r="AX73" s="565"/>
      <c r="AY73" s="565"/>
      <c r="AZ73" s="565"/>
    </row>
    <row r="74" spans="1:53" ht="11.25" hidden="1" outlineLevel="1" x14ac:dyDescent="0.2">
      <c r="A74" s="557" t="str">
        <f t="shared" si="6"/>
        <v>1</v>
      </c>
      <c r="D74" s="537" t="s">
        <v>752</v>
      </c>
      <c r="L74" s="568" t="s">
        <v>753</v>
      </c>
      <c r="M74" s="578" t="s">
        <v>139</v>
      </c>
      <c r="N74" s="570" t="s">
        <v>106</v>
      </c>
      <c r="O74" s="583"/>
      <c r="P74" s="583"/>
      <c r="Q74" s="583"/>
      <c r="R74" s="573">
        <v>0</v>
      </c>
      <c r="S74" s="583"/>
      <c r="T74" s="583"/>
      <c r="U74" s="583"/>
      <c r="V74" s="583"/>
      <c r="W74" s="583"/>
      <c r="X74" s="583"/>
      <c r="Y74" s="583"/>
      <c r="Z74" s="583"/>
      <c r="AA74" s="583"/>
      <c r="AB74" s="583"/>
      <c r="AC74" s="583"/>
      <c r="AD74" s="583"/>
      <c r="AE74" s="583"/>
      <c r="AF74" s="583"/>
      <c r="AG74" s="583"/>
      <c r="AH74" s="583"/>
      <c r="AI74" s="583"/>
      <c r="AJ74" s="583"/>
      <c r="AK74" s="583"/>
      <c r="AL74" s="583"/>
      <c r="AM74" s="583"/>
      <c r="AN74" s="573">
        <f t="shared" si="7"/>
        <v>0</v>
      </c>
      <c r="AO74" s="573">
        <f t="shared" si="10"/>
        <v>0</v>
      </c>
      <c r="AP74" s="573">
        <f t="shared" si="10"/>
        <v>0</v>
      </c>
      <c r="AQ74" s="573">
        <f t="shared" si="10"/>
        <v>0</v>
      </c>
      <c r="AR74" s="573">
        <f t="shared" si="10"/>
        <v>0</v>
      </c>
      <c r="AS74" s="573">
        <f t="shared" si="10"/>
        <v>0</v>
      </c>
      <c r="AT74" s="573">
        <f t="shared" si="10"/>
        <v>0</v>
      </c>
      <c r="AU74" s="573">
        <f t="shared" si="10"/>
        <v>0</v>
      </c>
      <c r="AV74" s="573">
        <f t="shared" si="10"/>
        <v>0</v>
      </c>
      <c r="AW74" s="573">
        <f t="shared" si="10"/>
        <v>0</v>
      </c>
      <c r="AX74" s="565"/>
      <c r="AY74" s="565"/>
      <c r="AZ74" s="565"/>
    </row>
    <row r="75" spans="1:53" ht="11.25" hidden="1" outlineLevel="1" x14ac:dyDescent="0.2">
      <c r="A75" s="557" t="str">
        <f t="shared" si="6"/>
        <v>1</v>
      </c>
      <c r="D75" s="537" t="s">
        <v>754</v>
      </c>
      <c r="L75" s="568" t="s">
        <v>755</v>
      </c>
      <c r="M75" s="578" t="s">
        <v>141</v>
      </c>
      <c r="N75" s="570" t="s">
        <v>106</v>
      </c>
      <c r="O75" s="583"/>
      <c r="P75" s="583"/>
      <c r="Q75" s="583"/>
      <c r="R75" s="573">
        <v>0</v>
      </c>
      <c r="S75" s="583"/>
      <c r="T75" s="583"/>
      <c r="U75" s="583"/>
      <c r="V75" s="583"/>
      <c r="W75" s="583"/>
      <c r="X75" s="583"/>
      <c r="Y75" s="583"/>
      <c r="Z75" s="583"/>
      <c r="AA75" s="583"/>
      <c r="AB75" s="583"/>
      <c r="AC75" s="583"/>
      <c r="AD75" s="583"/>
      <c r="AE75" s="583"/>
      <c r="AF75" s="583"/>
      <c r="AG75" s="583"/>
      <c r="AH75" s="583"/>
      <c r="AI75" s="583"/>
      <c r="AJ75" s="583"/>
      <c r="AK75" s="583"/>
      <c r="AL75" s="583"/>
      <c r="AM75" s="583"/>
      <c r="AN75" s="573">
        <f t="shared" si="7"/>
        <v>0</v>
      </c>
      <c r="AO75" s="573">
        <f t="shared" si="10"/>
        <v>0</v>
      </c>
      <c r="AP75" s="573">
        <f t="shared" si="10"/>
        <v>0</v>
      </c>
      <c r="AQ75" s="573">
        <f t="shared" si="10"/>
        <v>0</v>
      </c>
      <c r="AR75" s="573">
        <f t="shared" si="10"/>
        <v>0</v>
      </c>
      <c r="AS75" s="573">
        <f t="shared" si="10"/>
        <v>0</v>
      </c>
      <c r="AT75" s="573">
        <f t="shared" si="10"/>
        <v>0</v>
      </c>
      <c r="AU75" s="573">
        <f t="shared" si="10"/>
        <v>0</v>
      </c>
      <c r="AV75" s="573">
        <f t="shared" si="10"/>
        <v>0</v>
      </c>
      <c r="AW75" s="573">
        <f t="shared" si="10"/>
        <v>0</v>
      </c>
      <c r="AX75" s="565"/>
      <c r="AY75" s="565"/>
      <c r="AZ75" s="565"/>
    </row>
    <row r="76" spans="1:53" ht="11.25" hidden="1" outlineLevel="1" x14ac:dyDescent="0.2">
      <c r="A76" s="557" t="str">
        <f t="shared" si="6"/>
        <v>1</v>
      </c>
      <c r="B76" s="537" t="s">
        <v>756</v>
      </c>
      <c r="D76" s="537" t="s">
        <v>757</v>
      </c>
      <c r="L76" s="568" t="s">
        <v>758</v>
      </c>
      <c r="M76" s="578" t="s">
        <v>143</v>
      </c>
      <c r="N76" s="570" t="s">
        <v>106</v>
      </c>
      <c r="O76" s="573">
        <v>0</v>
      </c>
      <c r="P76" s="573">
        <v>0</v>
      </c>
      <c r="Q76" s="573">
        <v>0</v>
      </c>
      <c r="R76" s="573">
        <v>0</v>
      </c>
      <c r="S76" s="573">
        <v>0</v>
      </c>
      <c r="T76" s="573">
        <v>0</v>
      </c>
      <c r="U76" s="573">
        <v>0</v>
      </c>
      <c r="V76" s="573">
        <v>0</v>
      </c>
      <c r="W76" s="573">
        <v>0</v>
      </c>
      <c r="X76" s="573">
        <v>0</v>
      </c>
      <c r="Y76" s="573">
        <v>0</v>
      </c>
      <c r="Z76" s="573">
        <v>0</v>
      </c>
      <c r="AA76" s="573">
        <v>0</v>
      </c>
      <c r="AB76" s="573">
        <v>0</v>
      </c>
      <c r="AC76" s="573">
        <v>0</v>
      </c>
      <c r="AD76" s="573">
        <v>0</v>
      </c>
      <c r="AE76" s="573">
        <v>0</v>
      </c>
      <c r="AF76" s="573">
        <v>0</v>
      </c>
      <c r="AG76" s="573">
        <v>0</v>
      </c>
      <c r="AH76" s="573">
        <v>0</v>
      </c>
      <c r="AI76" s="573">
        <f>SUMIFS([12]Покупка!AH$15:AH$54,[12]Покупка!$A$15:$A$54,$A76,[12]Покупка!$M$15:$M$54,$B76)</f>
        <v>0</v>
      </c>
      <c r="AJ76" s="573">
        <f>SUMIFS([12]Покупка!AI$15:AI$54,[12]Покупка!$A$15:$A$54,$A76,[12]Покупка!$M$15:$M$54,$B76)</f>
        <v>0</v>
      </c>
      <c r="AK76" s="573">
        <f>SUMIFS([12]Покупка!AJ$15:AJ$54,[12]Покупка!$A$15:$A$54,$A76,[12]Покупка!$M$15:$M$54,$B76)</f>
        <v>0</v>
      </c>
      <c r="AL76" s="573">
        <f>SUMIFS([12]Покупка!AK$15:AK$54,[12]Покупка!$A$15:$A$54,$A76,[12]Покупка!$M$15:$M$54,$B76)</f>
        <v>0</v>
      </c>
      <c r="AM76" s="573">
        <f>SUMIFS([12]Покупка!AL$15:AL$54,[12]Покупка!$A$15:$A$54,$A76,[12]Покупка!$M$15:$M$54,$B76)</f>
        <v>0</v>
      </c>
      <c r="AN76" s="573">
        <f>IF(S76=0,0,(AD76-S76)/S76*100)</f>
        <v>0</v>
      </c>
      <c r="AO76" s="573">
        <f t="shared" si="10"/>
        <v>0</v>
      </c>
      <c r="AP76" s="573">
        <f t="shared" si="10"/>
        <v>0</v>
      </c>
      <c r="AQ76" s="573">
        <f t="shared" si="10"/>
        <v>0</v>
      </c>
      <c r="AR76" s="573">
        <f t="shared" si="10"/>
        <v>0</v>
      </c>
      <c r="AS76" s="573">
        <f t="shared" si="10"/>
        <v>0</v>
      </c>
      <c r="AT76" s="573">
        <f t="shared" si="10"/>
        <v>0</v>
      </c>
      <c r="AU76" s="573">
        <f t="shared" si="10"/>
        <v>0</v>
      </c>
      <c r="AV76" s="573">
        <f t="shared" si="10"/>
        <v>0</v>
      </c>
      <c r="AW76" s="573">
        <f t="shared" si="10"/>
        <v>0</v>
      </c>
      <c r="AX76" s="565"/>
      <c r="AY76" s="565"/>
      <c r="AZ76" s="565"/>
    </row>
    <row r="77" spans="1:53" ht="11.25" hidden="1" outlineLevel="1" x14ac:dyDescent="0.2">
      <c r="A77" s="557" t="str">
        <f t="shared" si="6"/>
        <v>1</v>
      </c>
      <c r="B77" s="537" t="s">
        <v>759</v>
      </c>
      <c r="D77" s="537" t="s">
        <v>760</v>
      </c>
      <c r="L77" s="568" t="s">
        <v>761</v>
      </c>
      <c r="M77" s="578" t="s">
        <v>145</v>
      </c>
      <c r="N77" s="570" t="s">
        <v>106</v>
      </c>
      <c r="O77" s="573">
        <v>0</v>
      </c>
      <c r="P77" s="573">
        <v>0</v>
      </c>
      <c r="Q77" s="573">
        <v>0</v>
      </c>
      <c r="R77" s="573">
        <v>0</v>
      </c>
      <c r="S77" s="573">
        <v>0</v>
      </c>
      <c r="T77" s="573">
        <v>0</v>
      </c>
      <c r="U77" s="573">
        <v>0</v>
      </c>
      <c r="V77" s="573">
        <v>0</v>
      </c>
      <c r="W77" s="573">
        <v>0</v>
      </c>
      <c r="X77" s="573">
        <v>0</v>
      </c>
      <c r="Y77" s="573">
        <v>0</v>
      </c>
      <c r="Z77" s="573">
        <v>0</v>
      </c>
      <c r="AA77" s="573">
        <v>0</v>
      </c>
      <c r="AB77" s="573">
        <v>0</v>
      </c>
      <c r="AC77" s="573">
        <v>0</v>
      </c>
      <c r="AD77" s="573">
        <v>0</v>
      </c>
      <c r="AE77" s="573">
        <v>0</v>
      </c>
      <c r="AF77" s="573">
        <v>0</v>
      </c>
      <c r="AG77" s="573">
        <v>0</v>
      </c>
      <c r="AH77" s="573">
        <v>0</v>
      </c>
      <c r="AI77" s="573">
        <f>SUMIFS([12]Покупка!AH$15:AH$54,[12]Покупка!$A$15:$A$54,$A77,[12]Покупка!$M$15:$M$54,$B77)</f>
        <v>0</v>
      </c>
      <c r="AJ77" s="573">
        <f>SUMIFS([12]Покупка!AI$15:AI$54,[12]Покупка!$A$15:$A$54,$A77,[12]Покупка!$M$15:$M$54,$B77)</f>
        <v>0</v>
      </c>
      <c r="AK77" s="573">
        <f>SUMIFS([12]Покупка!AJ$15:AJ$54,[12]Покупка!$A$15:$A$54,$A77,[12]Покупка!$M$15:$M$54,$B77)</f>
        <v>0</v>
      </c>
      <c r="AL77" s="573">
        <f>SUMIFS([12]Покупка!AK$15:AK$54,[12]Покупка!$A$15:$A$54,$A77,[12]Покупка!$M$15:$M$54,$B77)</f>
        <v>0</v>
      </c>
      <c r="AM77" s="573">
        <f>SUMIFS([12]Покупка!AL$15:AL$54,[12]Покупка!$A$15:$A$54,$A77,[12]Покупка!$M$15:$M$54,$B77)</f>
        <v>0</v>
      </c>
      <c r="AN77" s="573">
        <f>IF(S77=0,0,(AD77-S77)/S77*100)</f>
        <v>0</v>
      </c>
      <c r="AO77" s="573">
        <f t="shared" si="10"/>
        <v>0</v>
      </c>
      <c r="AP77" s="573">
        <f t="shared" si="10"/>
        <v>0</v>
      </c>
      <c r="AQ77" s="573">
        <f t="shared" si="10"/>
        <v>0</v>
      </c>
      <c r="AR77" s="573">
        <f t="shared" si="10"/>
        <v>0</v>
      </c>
      <c r="AS77" s="573">
        <f t="shared" si="10"/>
        <v>0</v>
      </c>
      <c r="AT77" s="573">
        <f t="shared" si="10"/>
        <v>0</v>
      </c>
      <c r="AU77" s="573">
        <f t="shared" si="10"/>
        <v>0</v>
      </c>
      <c r="AV77" s="573">
        <f t="shared" si="10"/>
        <v>0</v>
      </c>
      <c r="AW77" s="573">
        <f t="shared" si="10"/>
        <v>0</v>
      </c>
      <c r="AX77" s="565"/>
      <c r="AY77" s="565"/>
      <c r="AZ77" s="565"/>
    </row>
    <row r="78" spans="1:53" ht="11.25" hidden="1" outlineLevel="1" x14ac:dyDescent="0.2">
      <c r="A78" s="557" t="str">
        <f t="shared" si="6"/>
        <v>1</v>
      </c>
      <c r="B78" s="537" t="s">
        <v>762</v>
      </c>
      <c r="D78" s="537" t="s">
        <v>763</v>
      </c>
      <c r="L78" s="568" t="s">
        <v>764</v>
      </c>
      <c r="M78" s="578" t="s">
        <v>765</v>
      </c>
      <c r="N78" s="570" t="s">
        <v>106</v>
      </c>
      <c r="O78" s="573">
        <v>0</v>
      </c>
      <c r="P78" s="573">
        <v>0</v>
      </c>
      <c r="Q78" s="573">
        <v>0</v>
      </c>
      <c r="R78" s="573">
        <v>0</v>
      </c>
      <c r="S78" s="573">
        <v>0</v>
      </c>
      <c r="T78" s="573">
        <v>0</v>
      </c>
      <c r="U78" s="573">
        <v>0</v>
      </c>
      <c r="V78" s="573">
        <v>0</v>
      </c>
      <c r="W78" s="573">
        <v>0</v>
      </c>
      <c r="X78" s="573">
        <v>0</v>
      </c>
      <c r="Y78" s="573">
        <v>0</v>
      </c>
      <c r="Z78" s="573">
        <v>0</v>
      </c>
      <c r="AA78" s="573">
        <v>0</v>
      </c>
      <c r="AB78" s="573">
        <v>0</v>
      </c>
      <c r="AC78" s="573">
        <v>0</v>
      </c>
      <c r="AD78" s="573">
        <v>0</v>
      </c>
      <c r="AE78" s="573">
        <v>0</v>
      </c>
      <c r="AF78" s="573">
        <v>0</v>
      </c>
      <c r="AG78" s="573">
        <v>0</v>
      </c>
      <c r="AH78" s="573">
        <v>0</v>
      </c>
      <c r="AI78" s="573">
        <f>SUMIFS([12]Покупка!AH$15:AH$54,[12]Покупка!$A$15:$A$54,$A78,[12]Покупка!$M$15:$M$54,$B78)</f>
        <v>0</v>
      </c>
      <c r="AJ78" s="573">
        <f>SUMIFS([12]Покупка!AI$15:AI$54,[12]Покупка!$A$15:$A$54,$A78,[12]Покупка!$M$15:$M$54,$B78)</f>
        <v>0</v>
      </c>
      <c r="AK78" s="573">
        <f>SUMIFS([12]Покупка!AJ$15:AJ$54,[12]Покупка!$A$15:$A$54,$A78,[12]Покупка!$M$15:$M$54,$B78)</f>
        <v>0</v>
      </c>
      <c r="AL78" s="573">
        <f>SUMIFS([12]Покупка!AK$15:AK$54,[12]Покупка!$A$15:$A$54,$A78,[12]Покупка!$M$15:$M$54,$B78)</f>
        <v>0</v>
      </c>
      <c r="AM78" s="573">
        <f>SUMIFS([12]Покупка!AL$15:AL$54,[12]Покупка!$A$15:$A$54,$A78,[12]Покупка!$M$15:$M$54,$B78)</f>
        <v>0</v>
      </c>
      <c r="AN78" s="573">
        <f>IF(S78=0,0,(AD78-S78)/S78*100)</f>
        <v>0</v>
      </c>
      <c r="AO78" s="573">
        <f t="shared" si="10"/>
        <v>0</v>
      </c>
      <c r="AP78" s="573">
        <f t="shared" si="10"/>
        <v>0</v>
      </c>
      <c r="AQ78" s="573">
        <f t="shared" si="10"/>
        <v>0</v>
      </c>
      <c r="AR78" s="573">
        <f t="shared" si="10"/>
        <v>0</v>
      </c>
      <c r="AS78" s="573">
        <f t="shared" si="10"/>
        <v>0</v>
      </c>
      <c r="AT78" s="573">
        <f t="shared" si="10"/>
        <v>0</v>
      </c>
      <c r="AU78" s="573">
        <f t="shared" si="10"/>
        <v>0</v>
      </c>
      <c r="AV78" s="573">
        <f t="shared" si="10"/>
        <v>0</v>
      </c>
      <c r="AW78" s="573">
        <f t="shared" si="10"/>
        <v>0</v>
      </c>
      <c r="AX78" s="565"/>
      <c r="AY78" s="565"/>
      <c r="AZ78" s="565"/>
    </row>
    <row r="79" spans="1:53" ht="11.25" hidden="1" outlineLevel="1" x14ac:dyDescent="0.2">
      <c r="A79" s="557" t="str">
        <f t="shared" si="6"/>
        <v>1</v>
      </c>
      <c r="D79" s="537" t="s">
        <v>766</v>
      </c>
      <c r="L79" s="568" t="s">
        <v>492</v>
      </c>
      <c r="M79" s="569" t="s">
        <v>767</v>
      </c>
      <c r="N79" s="603" t="s">
        <v>106</v>
      </c>
      <c r="O79" s="573">
        <v>0</v>
      </c>
      <c r="P79" s="573">
        <v>0.3</v>
      </c>
      <c r="Q79" s="573">
        <v>0</v>
      </c>
      <c r="R79" s="573">
        <v>-0.3</v>
      </c>
      <c r="S79" s="573">
        <v>0</v>
      </c>
      <c r="T79" s="573">
        <v>0.5</v>
      </c>
      <c r="U79" s="573">
        <v>0.5</v>
      </c>
      <c r="V79" s="573">
        <v>0.8</v>
      </c>
      <c r="W79" s="573">
        <v>0.8</v>
      </c>
      <c r="X79" s="573">
        <v>1</v>
      </c>
      <c r="Y79" s="573">
        <v>0</v>
      </c>
      <c r="Z79" s="573">
        <v>0</v>
      </c>
      <c r="AA79" s="573">
        <v>0</v>
      </c>
      <c r="AB79" s="573">
        <v>0</v>
      </c>
      <c r="AC79" s="573">
        <v>0</v>
      </c>
      <c r="AD79" s="573">
        <v>0</v>
      </c>
      <c r="AE79" s="573">
        <v>0</v>
      </c>
      <c r="AF79" s="573">
        <v>0</v>
      </c>
      <c r="AG79" s="573">
        <v>0</v>
      </c>
      <c r="AH79" s="573">
        <v>0</v>
      </c>
      <c r="AI79" s="573" t="e">
        <f>SUMIFS([12]Реагенты!AH$15:AH$26,[12]Реагенты!$A$15:$A$26,$A79,[12]Реагенты!$M$15:$M$26,"Всего по тарифу")</f>
        <v>#VALUE!</v>
      </c>
      <c r="AJ79" s="573" t="e">
        <f>SUMIFS([12]Реагенты!AI$15:AI$26,[12]Реагенты!$A$15:$A$26,$A79,[12]Реагенты!$M$15:$M$26,"Всего по тарифу")</f>
        <v>#VALUE!</v>
      </c>
      <c r="AK79" s="573" t="e">
        <f>SUMIFS([12]Реагенты!AJ$15:AJ$26,[12]Реагенты!$A$15:$A$26,$A79,[12]Реагенты!$M$15:$M$26,"Всего по тарифу")</f>
        <v>#VALUE!</v>
      </c>
      <c r="AL79" s="573" t="e">
        <f>SUMIFS([12]Реагенты!AK$15:AK$26,[12]Реагенты!$A$15:$A$26,$A79,[12]Реагенты!$M$15:$M$26,"Всего по тарифу")</f>
        <v>#VALUE!</v>
      </c>
      <c r="AM79" s="573" t="e">
        <f>SUMIFS([12]Реагенты!AL$15:AL$26,[12]Реагенты!$A$15:$A$26,$A79,[12]Реагенты!$M$15:$M$26,"Всего по тарифу")</f>
        <v>#VALUE!</v>
      </c>
      <c r="AN79" s="573">
        <f>IF(S79=0,0,(AD79-S79)/S79*100)</f>
        <v>0</v>
      </c>
      <c r="AO79" s="573">
        <f t="shared" si="10"/>
        <v>0</v>
      </c>
      <c r="AP79" s="573">
        <f t="shared" si="10"/>
        <v>0</v>
      </c>
      <c r="AQ79" s="573">
        <f t="shared" si="10"/>
        <v>0</v>
      </c>
      <c r="AR79" s="573">
        <f t="shared" si="10"/>
        <v>0</v>
      </c>
      <c r="AS79" s="573">
        <f t="shared" si="10"/>
        <v>0</v>
      </c>
      <c r="AT79" s="573" t="e">
        <f t="shared" si="10"/>
        <v>#VALUE!</v>
      </c>
      <c r="AU79" s="573" t="e">
        <f t="shared" si="10"/>
        <v>#VALUE!</v>
      </c>
      <c r="AV79" s="573" t="e">
        <f t="shared" si="10"/>
        <v>#VALUE!</v>
      </c>
      <c r="AW79" s="573" t="e">
        <f t="shared" si="10"/>
        <v>#VALUE!</v>
      </c>
      <c r="AX79" s="565"/>
      <c r="AY79" s="565"/>
      <c r="AZ79" s="565"/>
    </row>
    <row r="80" spans="1:53" s="590" customFormat="1" ht="11.25" hidden="1" outlineLevel="1" x14ac:dyDescent="0.2">
      <c r="A80" s="557" t="str">
        <f t="shared" si="6"/>
        <v>1</v>
      </c>
      <c r="C80" s="537"/>
      <c r="D80" s="537" t="s">
        <v>768</v>
      </c>
      <c r="L80" s="591" t="s">
        <v>769</v>
      </c>
      <c r="M80" s="592" t="s">
        <v>770</v>
      </c>
      <c r="N80" s="593" t="s">
        <v>106</v>
      </c>
      <c r="O80" s="563">
        <v>31.439999999999998</v>
      </c>
      <c r="P80" s="563">
        <v>35.950000000000003</v>
      </c>
      <c r="Q80" s="563">
        <v>35.92</v>
      </c>
      <c r="R80" s="563">
        <v>-3.0000000000001137E-2</v>
      </c>
      <c r="S80" s="563">
        <v>10.01</v>
      </c>
      <c r="T80" s="594">
        <v>11.3</v>
      </c>
      <c r="U80" s="563">
        <v>11.3</v>
      </c>
      <c r="V80" s="563">
        <v>11.3</v>
      </c>
      <c r="W80" s="563">
        <v>11.3</v>
      </c>
      <c r="X80" s="563">
        <v>11.3</v>
      </c>
      <c r="Y80" s="563">
        <v>0</v>
      </c>
      <c r="Z80" s="563">
        <v>0</v>
      </c>
      <c r="AA80" s="563">
        <v>0</v>
      </c>
      <c r="AB80" s="563">
        <v>0</v>
      </c>
      <c r="AC80" s="563">
        <v>0</v>
      </c>
      <c r="AD80" s="594">
        <v>39.909999999999997</v>
      </c>
      <c r="AE80" s="563">
        <v>42.379999999999995</v>
      </c>
      <c r="AF80" s="563">
        <v>43.620000000000005</v>
      </c>
      <c r="AG80" s="563">
        <v>44.769999999999996</v>
      </c>
      <c r="AH80" s="563">
        <v>47.650000000000006</v>
      </c>
      <c r="AI80" s="563" t="e">
        <f t="shared" ref="AI80:AM80" si="12">SUM(AI81:AI89)</f>
        <v>#VALUE!</v>
      </c>
      <c r="AJ80" s="563" t="e">
        <f t="shared" si="12"/>
        <v>#VALUE!</v>
      </c>
      <c r="AK80" s="563" t="e">
        <f t="shared" si="12"/>
        <v>#VALUE!</v>
      </c>
      <c r="AL80" s="563" t="e">
        <f t="shared" si="12"/>
        <v>#VALUE!</v>
      </c>
      <c r="AM80" s="563" t="e">
        <f t="shared" si="12"/>
        <v>#VALUE!</v>
      </c>
      <c r="AN80" s="563">
        <f t="shared" si="7"/>
        <v>298.7012987012987</v>
      </c>
      <c r="AO80" s="563">
        <f t="shared" si="10"/>
        <v>6.1889250814332231</v>
      </c>
      <c r="AP80" s="563">
        <f t="shared" si="10"/>
        <v>2.9259084473808619</v>
      </c>
      <c r="AQ80" s="563">
        <f t="shared" si="10"/>
        <v>2.6364053186611445</v>
      </c>
      <c r="AR80" s="563">
        <f t="shared" si="10"/>
        <v>6.4328791601519093</v>
      </c>
      <c r="AS80" s="563" t="e">
        <f t="shared" si="10"/>
        <v>#VALUE!</v>
      </c>
      <c r="AT80" s="563" t="e">
        <f t="shared" si="10"/>
        <v>#VALUE!</v>
      </c>
      <c r="AU80" s="563" t="e">
        <f t="shared" si="10"/>
        <v>#VALUE!</v>
      </c>
      <c r="AV80" s="563" t="e">
        <f t="shared" si="10"/>
        <v>#VALUE!</v>
      </c>
      <c r="AW80" s="563" t="e">
        <f t="shared" si="10"/>
        <v>#VALUE!</v>
      </c>
      <c r="AX80" s="577"/>
      <c r="AY80" s="577"/>
      <c r="AZ80" s="577"/>
    </row>
    <row r="81" spans="1:52" ht="11.25" hidden="1" outlineLevel="1" x14ac:dyDescent="0.2">
      <c r="A81" s="557" t="str">
        <f t="shared" si="6"/>
        <v>1</v>
      </c>
      <c r="B81" s="537" t="s">
        <v>544</v>
      </c>
      <c r="D81" s="537" t="s">
        <v>771</v>
      </c>
      <c r="L81" s="568" t="s">
        <v>772</v>
      </c>
      <c r="M81" s="578" t="s">
        <v>773</v>
      </c>
      <c r="N81" s="570" t="s">
        <v>106</v>
      </c>
      <c r="O81" s="573">
        <v>0</v>
      </c>
      <c r="P81" s="573">
        <v>0</v>
      </c>
      <c r="Q81" s="573">
        <v>0</v>
      </c>
      <c r="R81" s="573">
        <v>0</v>
      </c>
      <c r="S81" s="573">
        <v>0</v>
      </c>
      <c r="T81" s="573">
        <v>0</v>
      </c>
      <c r="U81" s="573">
        <v>0</v>
      </c>
      <c r="V81" s="573">
        <v>0</v>
      </c>
      <c r="W81" s="573">
        <v>0</v>
      </c>
      <c r="X81" s="573">
        <v>0</v>
      </c>
      <c r="Y81" s="573">
        <v>0</v>
      </c>
      <c r="Z81" s="573">
        <v>0</v>
      </c>
      <c r="AA81" s="573">
        <v>0</v>
      </c>
      <c r="AB81" s="573">
        <v>0</v>
      </c>
      <c r="AC81" s="573">
        <v>0</v>
      </c>
      <c r="AD81" s="573">
        <v>0</v>
      </c>
      <c r="AE81" s="573">
        <v>0</v>
      </c>
      <c r="AF81" s="573">
        <v>0</v>
      </c>
      <c r="AG81" s="573">
        <v>0</v>
      </c>
      <c r="AH81" s="573">
        <v>0</v>
      </c>
      <c r="AI81" s="573" t="e">
        <f>SUMIFS([12]Налоги!AH$15:AH$43,[12]Налоги!$A$15:$A$43,$A81,[12]Налоги!$M$15:$M$43,$B81)</f>
        <v>#VALUE!</v>
      </c>
      <c r="AJ81" s="573" t="e">
        <f>SUMIFS([12]Налоги!AI$15:AI$43,[12]Налоги!$A$15:$A$43,$A81,[12]Налоги!$M$15:$M$43,$B81)</f>
        <v>#VALUE!</v>
      </c>
      <c r="AK81" s="573" t="e">
        <f>SUMIFS([12]Налоги!AJ$15:AJ$43,[12]Налоги!$A$15:$A$43,$A81,[12]Налоги!$M$15:$M$43,$B81)</f>
        <v>#VALUE!</v>
      </c>
      <c r="AL81" s="573" t="e">
        <f>SUMIFS([12]Налоги!AK$15:AK$43,[12]Налоги!$A$15:$A$43,$A81,[12]Налоги!$M$15:$M$43,$B81)</f>
        <v>#VALUE!</v>
      </c>
      <c r="AM81" s="573" t="e">
        <f>SUMIFS([12]Налоги!AL$15:AL$43,[12]Налоги!$A$15:$A$43,$A81,[12]Налоги!$M$15:$M$43,$B81)</f>
        <v>#VALUE!</v>
      </c>
      <c r="AN81" s="573">
        <f t="shared" si="7"/>
        <v>0</v>
      </c>
      <c r="AO81" s="573">
        <f t="shared" si="10"/>
        <v>0</v>
      </c>
      <c r="AP81" s="573">
        <f t="shared" si="10"/>
        <v>0</v>
      </c>
      <c r="AQ81" s="573">
        <f t="shared" si="10"/>
        <v>0</v>
      </c>
      <c r="AR81" s="573">
        <f t="shared" si="10"/>
        <v>0</v>
      </c>
      <c r="AS81" s="573">
        <f t="shared" si="10"/>
        <v>0</v>
      </c>
      <c r="AT81" s="573" t="e">
        <f t="shared" si="10"/>
        <v>#VALUE!</v>
      </c>
      <c r="AU81" s="573" t="e">
        <f t="shared" si="10"/>
        <v>#VALUE!</v>
      </c>
      <c r="AV81" s="573" t="e">
        <f t="shared" si="10"/>
        <v>#VALUE!</v>
      </c>
      <c r="AW81" s="573" t="e">
        <f t="shared" si="10"/>
        <v>#VALUE!</v>
      </c>
      <c r="AX81" s="565"/>
      <c r="AY81" s="565"/>
      <c r="AZ81" s="565"/>
    </row>
    <row r="82" spans="1:52" ht="11.25" hidden="1" outlineLevel="1" x14ac:dyDescent="0.2">
      <c r="A82" s="557" t="str">
        <f t="shared" ref="A82:A141" si="13">A81</f>
        <v>1</v>
      </c>
      <c r="B82" s="537" t="s">
        <v>774</v>
      </c>
      <c r="D82" s="537" t="s">
        <v>775</v>
      </c>
      <c r="L82" s="568" t="s">
        <v>776</v>
      </c>
      <c r="M82" s="578" t="s">
        <v>777</v>
      </c>
      <c r="N82" s="570" t="s">
        <v>106</v>
      </c>
      <c r="O82" s="573">
        <v>0</v>
      </c>
      <c r="P82" s="573">
        <v>0</v>
      </c>
      <c r="Q82" s="573">
        <v>0</v>
      </c>
      <c r="R82" s="573">
        <v>0</v>
      </c>
      <c r="S82" s="573">
        <v>0</v>
      </c>
      <c r="T82" s="573">
        <v>0</v>
      </c>
      <c r="U82" s="573">
        <v>0</v>
      </c>
      <c r="V82" s="573">
        <v>0</v>
      </c>
      <c r="W82" s="573">
        <v>0</v>
      </c>
      <c r="X82" s="573">
        <v>0</v>
      </c>
      <c r="Y82" s="573">
        <v>0</v>
      </c>
      <c r="Z82" s="573">
        <v>0</v>
      </c>
      <c r="AA82" s="573">
        <v>0</v>
      </c>
      <c r="AB82" s="573">
        <v>0</v>
      </c>
      <c r="AC82" s="573">
        <v>0</v>
      </c>
      <c r="AD82" s="573">
        <v>0</v>
      </c>
      <c r="AE82" s="573">
        <v>0</v>
      </c>
      <c r="AF82" s="573">
        <v>0</v>
      </c>
      <c r="AG82" s="573">
        <v>0</v>
      </c>
      <c r="AH82" s="573">
        <v>0</v>
      </c>
      <c r="AI82" s="573" t="e">
        <f>SUMIFS([12]Налоги!AH$15:AH$43,[12]Налоги!$A$15:$A$43,$A82,[12]Налоги!$M$15:$M$43,$B82)</f>
        <v>#VALUE!</v>
      </c>
      <c r="AJ82" s="573" t="e">
        <f>SUMIFS([12]Налоги!AI$15:AI$43,[12]Налоги!$A$15:$A$43,$A82,[12]Налоги!$M$15:$M$43,$B82)</f>
        <v>#VALUE!</v>
      </c>
      <c r="AK82" s="573" t="e">
        <f>SUMIFS([12]Налоги!AJ$15:AJ$43,[12]Налоги!$A$15:$A$43,$A82,[12]Налоги!$M$15:$M$43,$B82)</f>
        <v>#VALUE!</v>
      </c>
      <c r="AL82" s="573" t="e">
        <f>SUMIFS([12]Налоги!AK$15:AK$43,[12]Налоги!$A$15:$A$43,$A82,[12]Налоги!$M$15:$M$43,$B82)</f>
        <v>#VALUE!</v>
      </c>
      <c r="AM82" s="573" t="e">
        <f>SUMIFS([12]Налоги!AL$15:AL$43,[12]Налоги!$A$15:$A$43,$A82,[12]Налоги!$M$15:$M$43,$B82)</f>
        <v>#VALUE!</v>
      </c>
      <c r="AN82" s="573">
        <f t="shared" si="7"/>
        <v>0</v>
      </c>
      <c r="AO82" s="573">
        <f t="shared" si="10"/>
        <v>0</v>
      </c>
      <c r="AP82" s="573">
        <f t="shared" si="10"/>
        <v>0</v>
      </c>
      <c r="AQ82" s="573">
        <f t="shared" si="10"/>
        <v>0</v>
      </c>
      <c r="AR82" s="573">
        <f t="shared" si="10"/>
        <v>0</v>
      </c>
      <c r="AS82" s="573">
        <f t="shared" si="10"/>
        <v>0</v>
      </c>
      <c r="AT82" s="573" t="e">
        <f t="shared" si="10"/>
        <v>#VALUE!</v>
      </c>
      <c r="AU82" s="573" t="e">
        <f t="shared" si="10"/>
        <v>#VALUE!</v>
      </c>
      <c r="AV82" s="573" t="e">
        <f t="shared" si="10"/>
        <v>#VALUE!</v>
      </c>
      <c r="AW82" s="573" t="e">
        <f t="shared" si="10"/>
        <v>#VALUE!</v>
      </c>
      <c r="AX82" s="565"/>
      <c r="AY82" s="565"/>
      <c r="AZ82" s="565"/>
    </row>
    <row r="83" spans="1:52" ht="11.25" hidden="1" outlineLevel="1" x14ac:dyDescent="0.2">
      <c r="A83" s="557" t="str">
        <f t="shared" si="13"/>
        <v>1</v>
      </c>
      <c r="B83" s="537" t="s">
        <v>156</v>
      </c>
      <c r="D83" s="537" t="s">
        <v>778</v>
      </c>
      <c r="L83" s="568" t="s">
        <v>779</v>
      </c>
      <c r="M83" s="578" t="s">
        <v>780</v>
      </c>
      <c r="N83" s="570" t="s">
        <v>106</v>
      </c>
      <c r="O83" s="573">
        <v>0</v>
      </c>
      <c r="P83" s="573">
        <v>0</v>
      </c>
      <c r="Q83" s="573">
        <v>0</v>
      </c>
      <c r="R83" s="573">
        <v>0</v>
      </c>
      <c r="S83" s="573">
        <v>0</v>
      </c>
      <c r="T83" s="573">
        <v>0</v>
      </c>
      <c r="U83" s="573">
        <v>0</v>
      </c>
      <c r="V83" s="573">
        <v>0</v>
      </c>
      <c r="W83" s="573">
        <v>0</v>
      </c>
      <c r="X83" s="573">
        <v>0</v>
      </c>
      <c r="Y83" s="573">
        <v>0</v>
      </c>
      <c r="Z83" s="573">
        <v>0</v>
      </c>
      <c r="AA83" s="573">
        <v>0</v>
      </c>
      <c r="AB83" s="573">
        <v>0</v>
      </c>
      <c r="AC83" s="573">
        <v>0</v>
      </c>
      <c r="AD83" s="573">
        <v>0</v>
      </c>
      <c r="AE83" s="573">
        <v>0</v>
      </c>
      <c r="AF83" s="573">
        <v>0</v>
      </c>
      <c r="AG83" s="573">
        <v>0</v>
      </c>
      <c r="AH83" s="573">
        <v>0</v>
      </c>
      <c r="AI83" s="573" t="e">
        <f>SUMIFS([12]Налоги!AH$15:AH$43,[12]Налоги!$A$15:$A$43,$A83,[12]Налоги!$M$15:$M$43,$B83)</f>
        <v>#VALUE!</v>
      </c>
      <c r="AJ83" s="573" t="e">
        <f>SUMIFS([12]Налоги!AI$15:AI$43,[12]Налоги!$A$15:$A$43,$A83,[12]Налоги!$M$15:$M$43,$B83)</f>
        <v>#VALUE!</v>
      </c>
      <c r="AK83" s="573" t="e">
        <f>SUMIFS([12]Налоги!AJ$15:AJ$43,[12]Налоги!$A$15:$A$43,$A83,[12]Налоги!$M$15:$M$43,$B83)</f>
        <v>#VALUE!</v>
      </c>
      <c r="AL83" s="573" t="e">
        <f>SUMIFS([12]Налоги!AK$15:AK$43,[12]Налоги!$A$15:$A$43,$A83,[12]Налоги!$M$15:$M$43,$B83)</f>
        <v>#VALUE!</v>
      </c>
      <c r="AM83" s="573" t="e">
        <f>SUMIFS([12]Налоги!AL$15:AL$43,[12]Налоги!$A$15:$A$43,$A83,[12]Налоги!$M$15:$M$43,$B83)</f>
        <v>#VALUE!</v>
      </c>
      <c r="AN83" s="573">
        <f t="shared" si="7"/>
        <v>0</v>
      </c>
      <c r="AO83" s="573">
        <f t="shared" ref="AO83:AW98" si="14">IF(AD83=0,0,(AE83-AD83)/AD83*100)</f>
        <v>0</v>
      </c>
      <c r="AP83" s="573">
        <f t="shared" si="14"/>
        <v>0</v>
      </c>
      <c r="AQ83" s="573">
        <f t="shared" si="14"/>
        <v>0</v>
      </c>
      <c r="AR83" s="573">
        <f t="shared" si="14"/>
        <v>0</v>
      </c>
      <c r="AS83" s="573">
        <f t="shared" si="14"/>
        <v>0</v>
      </c>
      <c r="AT83" s="573" t="e">
        <f t="shared" si="14"/>
        <v>#VALUE!</v>
      </c>
      <c r="AU83" s="573" t="e">
        <f t="shared" si="14"/>
        <v>#VALUE!</v>
      </c>
      <c r="AV83" s="573" t="e">
        <f t="shared" si="14"/>
        <v>#VALUE!</v>
      </c>
      <c r="AW83" s="573" t="e">
        <f t="shared" si="14"/>
        <v>#VALUE!</v>
      </c>
      <c r="AX83" s="565"/>
      <c r="AY83" s="565"/>
      <c r="AZ83" s="565"/>
    </row>
    <row r="84" spans="1:52" ht="11.25" hidden="1" outlineLevel="1" x14ac:dyDescent="0.2">
      <c r="A84" s="557" t="str">
        <f t="shared" si="13"/>
        <v>1</v>
      </c>
      <c r="B84" s="537" t="s">
        <v>781</v>
      </c>
      <c r="D84" s="537" t="s">
        <v>782</v>
      </c>
      <c r="L84" s="568" t="s">
        <v>783</v>
      </c>
      <c r="M84" s="578" t="s">
        <v>784</v>
      </c>
      <c r="N84" s="570" t="s">
        <v>106</v>
      </c>
      <c r="O84" s="573">
        <v>4.2699999999999996</v>
      </c>
      <c r="P84" s="573">
        <v>11.3</v>
      </c>
      <c r="Q84" s="573">
        <v>8.5</v>
      </c>
      <c r="R84" s="573">
        <v>-2.8000000000000007</v>
      </c>
      <c r="S84" s="573">
        <v>10.01</v>
      </c>
      <c r="T84" s="573">
        <v>11.3</v>
      </c>
      <c r="U84" s="573">
        <v>11.3</v>
      </c>
      <c r="V84" s="573">
        <v>11.3</v>
      </c>
      <c r="W84" s="573">
        <v>11.3</v>
      </c>
      <c r="X84" s="573">
        <v>11.3</v>
      </c>
      <c r="Y84" s="573">
        <v>0</v>
      </c>
      <c r="Z84" s="573">
        <v>0</v>
      </c>
      <c r="AA84" s="573">
        <v>0</v>
      </c>
      <c r="AB84" s="573">
        <v>0</v>
      </c>
      <c r="AC84" s="573">
        <v>0</v>
      </c>
      <c r="AD84" s="573">
        <v>8.85</v>
      </c>
      <c r="AE84" s="573">
        <v>9.23</v>
      </c>
      <c r="AF84" s="573">
        <v>9.6</v>
      </c>
      <c r="AG84" s="573">
        <v>9.98</v>
      </c>
      <c r="AH84" s="573">
        <v>10.38</v>
      </c>
      <c r="AI84" s="573" t="e">
        <f>SUMIFS([12]Налоги!AH$15:AH$43,[12]Налоги!$A$15:$A$43,$A84,[12]Налоги!$M$15:$M$43,$B84)</f>
        <v>#VALUE!</v>
      </c>
      <c r="AJ84" s="573" t="e">
        <f>SUMIFS([12]Налоги!AI$15:AI$43,[12]Налоги!$A$15:$A$43,$A84,[12]Налоги!$M$15:$M$43,$B84)</f>
        <v>#VALUE!</v>
      </c>
      <c r="AK84" s="573" t="e">
        <f>SUMIFS([12]Налоги!AJ$15:AJ$43,[12]Налоги!$A$15:$A$43,$A84,[12]Налоги!$M$15:$M$43,$B84)</f>
        <v>#VALUE!</v>
      </c>
      <c r="AL84" s="573" t="e">
        <f>SUMIFS([12]Налоги!AK$15:AK$43,[12]Налоги!$A$15:$A$43,$A84,[12]Налоги!$M$15:$M$43,$B84)</f>
        <v>#VALUE!</v>
      </c>
      <c r="AM84" s="573" t="e">
        <f>SUMIFS([12]Налоги!AL$15:AL$43,[12]Налоги!$A$15:$A$43,$A84,[12]Налоги!$M$15:$M$43,$B84)</f>
        <v>#VALUE!</v>
      </c>
      <c r="AN84" s="573">
        <f t="shared" si="7"/>
        <v>-11.58841158841159</v>
      </c>
      <c r="AO84" s="573">
        <f t="shared" si="14"/>
        <v>4.2937853107344726</v>
      </c>
      <c r="AP84" s="573">
        <f t="shared" si="14"/>
        <v>4.0086673889490703</v>
      </c>
      <c r="AQ84" s="573">
        <f t="shared" si="14"/>
        <v>3.9583333333333415</v>
      </c>
      <c r="AR84" s="573">
        <f t="shared" si="14"/>
        <v>4.0080160320641314</v>
      </c>
      <c r="AS84" s="573" t="e">
        <f t="shared" si="14"/>
        <v>#VALUE!</v>
      </c>
      <c r="AT84" s="573" t="e">
        <f t="shared" si="14"/>
        <v>#VALUE!</v>
      </c>
      <c r="AU84" s="573" t="e">
        <f t="shared" si="14"/>
        <v>#VALUE!</v>
      </c>
      <c r="AV84" s="573" t="e">
        <f t="shared" si="14"/>
        <v>#VALUE!</v>
      </c>
      <c r="AW84" s="573" t="e">
        <f t="shared" si="14"/>
        <v>#VALUE!</v>
      </c>
      <c r="AX84" s="565"/>
      <c r="AY84" s="565"/>
      <c r="AZ84" s="565"/>
    </row>
    <row r="85" spans="1:52" ht="11.25" hidden="1" outlineLevel="1" x14ac:dyDescent="0.2">
      <c r="A85" s="557" t="str">
        <f t="shared" si="13"/>
        <v>1</v>
      </c>
      <c r="B85" s="537" t="s">
        <v>785</v>
      </c>
      <c r="D85" s="537" t="s">
        <v>786</v>
      </c>
      <c r="L85" s="568" t="s">
        <v>787</v>
      </c>
      <c r="M85" s="578" t="s">
        <v>788</v>
      </c>
      <c r="N85" s="570" t="s">
        <v>106</v>
      </c>
      <c r="O85" s="573">
        <v>0</v>
      </c>
      <c r="P85" s="573">
        <v>0</v>
      </c>
      <c r="Q85" s="573">
        <v>0</v>
      </c>
      <c r="R85" s="573">
        <v>0</v>
      </c>
      <c r="S85" s="573">
        <v>0</v>
      </c>
      <c r="T85" s="573">
        <v>0</v>
      </c>
      <c r="U85" s="573">
        <v>0</v>
      </c>
      <c r="V85" s="573">
        <v>0</v>
      </c>
      <c r="W85" s="573">
        <v>0</v>
      </c>
      <c r="X85" s="573">
        <v>0</v>
      </c>
      <c r="Y85" s="573">
        <v>0</v>
      </c>
      <c r="Z85" s="573">
        <v>0</v>
      </c>
      <c r="AA85" s="573">
        <v>0</v>
      </c>
      <c r="AB85" s="573">
        <v>0</v>
      </c>
      <c r="AC85" s="573">
        <v>0</v>
      </c>
      <c r="AD85" s="573">
        <v>0</v>
      </c>
      <c r="AE85" s="573">
        <v>0</v>
      </c>
      <c r="AF85" s="573">
        <v>0</v>
      </c>
      <c r="AG85" s="573">
        <v>0</v>
      </c>
      <c r="AH85" s="573">
        <v>0</v>
      </c>
      <c r="AI85" s="573" t="e">
        <f>SUMIFS([12]Налоги!AH$15:AH$43,[12]Налоги!$A$15:$A$43,$A85,[12]Налоги!$M$15:$M$43,$B85)</f>
        <v>#VALUE!</v>
      </c>
      <c r="AJ85" s="573" t="e">
        <f>SUMIFS([12]Налоги!AI$15:AI$43,[12]Налоги!$A$15:$A$43,$A85,[12]Налоги!$M$15:$M$43,$B85)</f>
        <v>#VALUE!</v>
      </c>
      <c r="AK85" s="573" t="e">
        <f>SUMIFS([12]Налоги!AJ$15:AJ$43,[12]Налоги!$A$15:$A$43,$A85,[12]Налоги!$M$15:$M$43,$B85)</f>
        <v>#VALUE!</v>
      </c>
      <c r="AL85" s="573" t="e">
        <f>SUMIFS([12]Налоги!AK$15:AK$43,[12]Налоги!$A$15:$A$43,$A85,[12]Налоги!$M$15:$M$43,$B85)</f>
        <v>#VALUE!</v>
      </c>
      <c r="AM85" s="573" t="e">
        <f>SUMIFS([12]Налоги!AL$15:AL$43,[12]Налоги!$A$15:$A$43,$A85,[12]Налоги!$M$15:$M$43,$B85)</f>
        <v>#VALUE!</v>
      </c>
      <c r="AN85" s="573">
        <f t="shared" si="7"/>
        <v>0</v>
      </c>
      <c r="AO85" s="573">
        <f t="shared" si="14"/>
        <v>0</v>
      </c>
      <c r="AP85" s="573">
        <f t="shared" si="14"/>
        <v>0</v>
      </c>
      <c r="AQ85" s="573">
        <f t="shared" si="14"/>
        <v>0</v>
      </c>
      <c r="AR85" s="573">
        <f t="shared" si="14"/>
        <v>0</v>
      </c>
      <c r="AS85" s="573">
        <f t="shared" si="14"/>
        <v>0</v>
      </c>
      <c r="AT85" s="573" t="e">
        <f t="shared" si="14"/>
        <v>#VALUE!</v>
      </c>
      <c r="AU85" s="573" t="e">
        <f t="shared" si="14"/>
        <v>#VALUE!</v>
      </c>
      <c r="AV85" s="573" t="e">
        <f t="shared" si="14"/>
        <v>#VALUE!</v>
      </c>
      <c r="AW85" s="573" t="e">
        <f t="shared" si="14"/>
        <v>#VALUE!</v>
      </c>
      <c r="AX85" s="565"/>
      <c r="AY85" s="565"/>
      <c r="AZ85" s="565"/>
    </row>
    <row r="86" spans="1:52" ht="11.25" hidden="1" outlineLevel="1" x14ac:dyDescent="0.2">
      <c r="A86" s="557" t="str">
        <f t="shared" si="13"/>
        <v>1</v>
      </c>
      <c r="B86" s="537" t="s">
        <v>158</v>
      </c>
      <c r="D86" s="537" t="s">
        <v>789</v>
      </c>
      <c r="L86" s="568" t="s">
        <v>790</v>
      </c>
      <c r="M86" s="578" t="s">
        <v>791</v>
      </c>
      <c r="N86" s="570" t="s">
        <v>106</v>
      </c>
      <c r="O86" s="573">
        <v>0.13</v>
      </c>
      <c r="P86" s="573">
        <v>0</v>
      </c>
      <c r="Q86" s="573">
        <v>0</v>
      </c>
      <c r="R86" s="573">
        <v>0</v>
      </c>
      <c r="S86" s="573">
        <v>0</v>
      </c>
      <c r="T86" s="573">
        <v>0</v>
      </c>
      <c r="U86" s="573">
        <v>0</v>
      </c>
      <c r="V86" s="573">
        <v>0</v>
      </c>
      <c r="W86" s="573">
        <v>0</v>
      </c>
      <c r="X86" s="573">
        <v>0</v>
      </c>
      <c r="Y86" s="573">
        <v>0</v>
      </c>
      <c r="Z86" s="573">
        <v>0</v>
      </c>
      <c r="AA86" s="573">
        <v>0</v>
      </c>
      <c r="AB86" s="573">
        <v>0</v>
      </c>
      <c r="AC86" s="573">
        <v>0</v>
      </c>
      <c r="AD86" s="573">
        <v>0</v>
      </c>
      <c r="AE86" s="573">
        <v>0</v>
      </c>
      <c r="AF86" s="573">
        <v>0</v>
      </c>
      <c r="AG86" s="573">
        <v>0</v>
      </c>
      <c r="AH86" s="573">
        <v>0</v>
      </c>
      <c r="AI86" s="573" t="e">
        <f>SUMIFS([12]Налоги!AH$15:AH$43,[12]Налоги!$A$15:$A$43,$A86,[12]Налоги!$M$15:$M$43,$B86)</f>
        <v>#VALUE!</v>
      </c>
      <c r="AJ86" s="573" t="e">
        <f>SUMIFS([12]Налоги!AI$15:AI$43,[12]Налоги!$A$15:$A$43,$A86,[12]Налоги!$M$15:$M$43,$B86)</f>
        <v>#VALUE!</v>
      </c>
      <c r="AK86" s="573" t="e">
        <f>SUMIFS([12]Налоги!AJ$15:AJ$43,[12]Налоги!$A$15:$A$43,$A86,[12]Налоги!$M$15:$M$43,$B86)</f>
        <v>#VALUE!</v>
      </c>
      <c r="AL86" s="573" t="e">
        <f>SUMIFS([12]Налоги!AK$15:AK$43,[12]Налоги!$A$15:$A$43,$A86,[12]Налоги!$M$15:$M$43,$B86)</f>
        <v>#VALUE!</v>
      </c>
      <c r="AM86" s="573" t="e">
        <f>SUMIFS([12]Налоги!AL$15:AL$43,[12]Налоги!$A$15:$A$43,$A86,[12]Налоги!$M$15:$M$43,$B86)</f>
        <v>#VALUE!</v>
      </c>
      <c r="AN86" s="573">
        <f t="shared" si="7"/>
        <v>0</v>
      </c>
      <c r="AO86" s="573">
        <f t="shared" si="14"/>
        <v>0</v>
      </c>
      <c r="AP86" s="573">
        <f t="shared" si="14"/>
        <v>0</v>
      </c>
      <c r="AQ86" s="573">
        <f t="shared" si="14"/>
        <v>0</v>
      </c>
      <c r="AR86" s="573">
        <f t="shared" si="14"/>
        <v>0</v>
      </c>
      <c r="AS86" s="573">
        <f t="shared" si="14"/>
        <v>0</v>
      </c>
      <c r="AT86" s="573" t="e">
        <f t="shared" si="14"/>
        <v>#VALUE!</v>
      </c>
      <c r="AU86" s="573" t="e">
        <f t="shared" si="14"/>
        <v>#VALUE!</v>
      </c>
      <c r="AV86" s="573" t="e">
        <f t="shared" si="14"/>
        <v>#VALUE!</v>
      </c>
      <c r="AW86" s="573" t="e">
        <f t="shared" si="14"/>
        <v>#VALUE!</v>
      </c>
      <c r="AX86" s="565"/>
      <c r="AY86" s="565"/>
      <c r="AZ86" s="565"/>
    </row>
    <row r="87" spans="1:52" ht="11.25" hidden="1" outlineLevel="1" x14ac:dyDescent="0.2">
      <c r="A87" s="557" t="str">
        <f t="shared" si="13"/>
        <v>1</v>
      </c>
      <c r="B87" s="537" t="s">
        <v>152</v>
      </c>
      <c r="D87" s="537" t="s">
        <v>792</v>
      </c>
      <c r="L87" s="568" t="s">
        <v>793</v>
      </c>
      <c r="M87" s="578" t="s">
        <v>794</v>
      </c>
      <c r="N87" s="570" t="s">
        <v>106</v>
      </c>
      <c r="O87" s="583">
        <v>0</v>
      </c>
      <c r="P87" s="583">
        <v>0</v>
      </c>
      <c r="Q87" s="583">
        <v>0</v>
      </c>
      <c r="R87" s="573">
        <v>0</v>
      </c>
      <c r="S87" s="583">
        <v>0</v>
      </c>
      <c r="T87" s="583">
        <v>0</v>
      </c>
      <c r="U87" s="583">
        <v>0</v>
      </c>
      <c r="V87" s="583">
        <v>0</v>
      </c>
      <c r="W87" s="583">
        <v>0</v>
      </c>
      <c r="X87" s="583">
        <v>0</v>
      </c>
      <c r="Y87" s="583">
        <v>0</v>
      </c>
      <c r="Z87" s="583">
        <v>0</v>
      </c>
      <c r="AA87" s="583">
        <v>0</v>
      </c>
      <c r="AB87" s="583">
        <v>0</v>
      </c>
      <c r="AC87" s="583">
        <v>0</v>
      </c>
      <c r="AD87" s="583">
        <v>0</v>
      </c>
      <c r="AE87" s="583">
        <v>0</v>
      </c>
      <c r="AF87" s="583">
        <v>0</v>
      </c>
      <c r="AG87" s="583">
        <v>0</v>
      </c>
      <c r="AH87" s="583">
        <v>0</v>
      </c>
      <c r="AI87" s="583" t="e">
        <f>SUMIFS([12]Налоги!AH$15:AH$43,[12]Налоги!$A$15:$A$43,$A87,[12]Налоги!$M$15:$M$43,$B87)</f>
        <v>#VALUE!</v>
      </c>
      <c r="AJ87" s="583" t="e">
        <f>SUMIFS([12]Налоги!AI$15:AI$43,[12]Налоги!$A$15:$A$43,$A87,[12]Налоги!$M$15:$M$43,$B87)</f>
        <v>#VALUE!</v>
      </c>
      <c r="AK87" s="583" t="e">
        <f>SUMIFS([12]Налоги!AJ$15:AJ$43,[12]Налоги!$A$15:$A$43,$A87,[12]Налоги!$M$15:$M$43,$B87)</f>
        <v>#VALUE!</v>
      </c>
      <c r="AL87" s="583" t="e">
        <f>SUMIFS([12]Налоги!AK$15:AK$43,[12]Налоги!$A$15:$A$43,$A87,[12]Налоги!$M$15:$M$43,$B87)</f>
        <v>#VALUE!</v>
      </c>
      <c r="AM87" s="583" t="e">
        <f>SUMIFS([12]Налоги!AL$15:AL$43,[12]Налоги!$A$15:$A$43,$A87,[12]Налоги!$M$15:$M$43,$B87)</f>
        <v>#VALUE!</v>
      </c>
      <c r="AN87" s="573">
        <f t="shared" si="7"/>
        <v>0</v>
      </c>
      <c r="AO87" s="573">
        <f t="shared" si="14"/>
        <v>0</v>
      </c>
      <c r="AP87" s="573">
        <f t="shared" si="14"/>
        <v>0</v>
      </c>
      <c r="AQ87" s="573">
        <f t="shared" si="14"/>
        <v>0</v>
      </c>
      <c r="AR87" s="573">
        <f t="shared" si="14"/>
        <v>0</v>
      </c>
      <c r="AS87" s="573">
        <f t="shared" si="14"/>
        <v>0</v>
      </c>
      <c r="AT87" s="573" t="e">
        <f t="shared" si="14"/>
        <v>#VALUE!</v>
      </c>
      <c r="AU87" s="573" t="e">
        <f t="shared" si="14"/>
        <v>#VALUE!</v>
      </c>
      <c r="AV87" s="573" t="e">
        <f t="shared" si="14"/>
        <v>#VALUE!</v>
      </c>
      <c r="AW87" s="573" t="e">
        <f t="shared" si="14"/>
        <v>#VALUE!</v>
      </c>
      <c r="AX87" s="565"/>
      <c r="AY87" s="565"/>
      <c r="AZ87" s="565"/>
    </row>
    <row r="88" spans="1:52" ht="11.25" hidden="1" outlineLevel="1" x14ac:dyDescent="0.2">
      <c r="A88" s="557" t="str">
        <f t="shared" si="13"/>
        <v>1</v>
      </c>
      <c r="B88" s="537" t="s">
        <v>795</v>
      </c>
      <c r="D88" s="537" t="s">
        <v>796</v>
      </c>
      <c r="L88" s="568" t="s">
        <v>797</v>
      </c>
      <c r="M88" s="578" t="s">
        <v>798</v>
      </c>
      <c r="N88" s="570" t="s">
        <v>106</v>
      </c>
      <c r="O88" s="573">
        <v>27.04</v>
      </c>
      <c r="P88" s="573">
        <v>24.65</v>
      </c>
      <c r="Q88" s="573">
        <v>27.42</v>
      </c>
      <c r="R88" s="573">
        <v>2.7700000000000031</v>
      </c>
      <c r="S88" s="573">
        <v>0</v>
      </c>
      <c r="T88" s="573">
        <v>0</v>
      </c>
      <c r="U88" s="573">
        <v>0</v>
      </c>
      <c r="V88" s="573">
        <v>0</v>
      </c>
      <c r="W88" s="573">
        <v>0</v>
      </c>
      <c r="X88" s="573">
        <v>0</v>
      </c>
      <c r="Y88" s="573">
        <v>0</v>
      </c>
      <c r="Z88" s="573">
        <v>0</v>
      </c>
      <c r="AA88" s="573">
        <v>0</v>
      </c>
      <c r="AB88" s="573">
        <v>0</v>
      </c>
      <c r="AC88" s="573">
        <v>0</v>
      </c>
      <c r="AD88" s="573">
        <v>31.06</v>
      </c>
      <c r="AE88" s="573">
        <v>33.15</v>
      </c>
      <c r="AF88" s="573">
        <v>34.020000000000003</v>
      </c>
      <c r="AG88" s="573">
        <v>34.79</v>
      </c>
      <c r="AH88" s="573">
        <v>37.270000000000003</v>
      </c>
      <c r="AI88" s="573" t="e">
        <f>SUMIFS([12]Налоги!AH$15:AH$43,[12]Налоги!$A$15:$A$43,$A88,[12]Налоги!$M$15:$M$43,$B88)</f>
        <v>#VALUE!</v>
      </c>
      <c r="AJ88" s="573" t="e">
        <f>SUMIFS([12]Налоги!AI$15:AI$43,[12]Налоги!$A$15:$A$43,$A88,[12]Налоги!$M$15:$M$43,$B88)</f>
        <v>#VALUE!</v>
      </c>
      <c r="AK88" s="573" t="e">
        <f>SUMIFS([12]Налоги!AJ$15:AJ$43,[12]Налоги!$A$15:$A$43,$A88,[12]Налоги!$M$15:$M$43,$B88)</f>
        <v>#VALUE!</v>
      </c>
      <c r="AL88" s="573" t="e">
        <f>SUMIFS([12]Налоги!AK$15:AK$43,[12]Налоги!$A$15:$A$43,$A88,[12]Налоги!$M$15:$M$43,$B88)</f>
        <v>#VALUE!</v>
      </c>
      <c r="AM88" s="573" t="e">
        <f>SUMIFS([12]Налоги!AL$15:AL$43,[12]Налоги!$A$15:$A$43,$A88,[12]Налоги!$M$15:$M$43,$B88)</f>
        <v>#VALUE!</v>
      </c>
      <c r="AN88" s="573">
        <f t="shared" si="7"/>
        <v>0</v>
      </c>
      <c r="AO88" s="573">
        <f t="shared" si="14"/>
        <v>6.7289117836445591</v>
      </c>
      <c r="AP88" s="573">
        <f t="shared" si="14"/>
        <v>2.6244343891402853</v>
      </c>
      <c r="AQ88" s="573">
        <f t="shared" si="14"/>
        <v>2.263374485596696</v>
      </c>
      <c r="AR88" s="573">
        <f t="shared" si="14"/>
        <v>7.1284851968956717</v>
      </c>
      <c r="AS88" s="573" t="e">
        <f t="shared" si="14"/>
        <v>#VALUE!</v>
      </c>
      <c r="AT88" s="573" t="e">
        <f t="shared" si="14"/>
        <v>#VALUE!</v>
      </c>
      <c r="AU88" s="573" t="e">
        <f t="shared" si="14"/>
        <v>#VALUE!</v>
      </c>
      <c r="AV88" s="573" t="e">
        <f t="shared" si="14"/>
        <v>#VALUE!</v>
      </c>
      <c r="AW88" s="573" t="e">
        <f t="shared" si="14"/>
        <v>#VALUE!</v>
      </c>
      <c r="AX88" s="565"/>
      <c r="AY88" s="565"/>
      <c r="AZ88" s="565"/>
    </row>
    <row r="89" spans="1:52" ht="11.25" hidden="1" outlineLevel="1" x14ac:dyDescent="0.2">
      <c r="A89" s="557" t="str">
        <f t="shared" si="13"/>
        <v>1</v>
      </c>
      <c r="B89" s="537" t="s">
        <v>160</v>
      </c>
      <c r="D89" s="537" t="s">
        <v>799</v>
      </c>
      <c r="L89" s="568" t="s">
        <v>800</v>
      </c>
      <c r="M89" s="604" t="s">
        <v>801</v>
      </c>
      <c r="N89" s="570" t="s">
        <v>106</v>
      </c>
      <c r="O89" s="573">
        <v>0</v>
      </c>
      <c r="P89" s="573">
        <v>0</v>
      </c>
      <c r="Q89" s="573">
        <v>0</v>
      </c>
      <c r="R89" s="573">
        <v>0</v>
      </c>
      <c r="S89" s="573">
        <v>0</v>
      </c>
      <c r="T89" s="573">
        <v>0</v>
      </c>
      <c r="U89" s="573">
        <v>0</v>
      </c>
      <c r="V89" s="573">
        <v>0</v>
      </c>
      <c r="W89" s="573">
        <v>0</v>
      </c>
      <c r="X89" s="573">
        <v>0</v>
      </c>
      <c r="Y89" s="573">
        <v>0</v>
      </c>
      <c r="Z89" s="573">
        <v>0</v>
      </c>
      <c r="AA89" s="573">
        <v>0</v>
      </c>
      <c r="AB89" s="573">
        <v>0</v>
      </c>
      <c r="AC89" s="573">
        <v>0</v>
      </c>
      <c r="AD89" s="573">
        <v>0</v>
      </c>
      <c r="AE89" s="573">
        <v>0</v>
      </c>
      <c r="AF89" s="573">
        <v>0</v>
      </c>
      <c r="AG89" s="573">
        <v>0</v>
      </c>
      <c r="AH89" s="573">
        <v>0</v>
      </c>
      <c r="AI89" s="573" t="e">
        <f>SUMIFS([12]Налоги!AH$15:AH$43,[12]Налоги!$A$15:$A$43,$A89,[12]Налоги!$M$15:$M$43,$B89)</f>
        <v>#VALUE!</v>
      </c>
      <c r="AJ89" s="573" t="e">
        <f>SUMIFS([12]Налоги!AI$15:AI$43,[12]Налоги!$A$15:$A$43,$A89,[12]Налоги!$M$15:$M$43,$B89)</f>
        <v>#VALUE!</v>
      </c>
      <c r="AK89" s="573" t="e">
        <f>SUMIFS([12]Налоги!AJ$15:AJ$43,[12]Налоги!$A$15:$A$43,$A89,[12]Налоги!$M$15:$M$43,$B89)</f>
        <v>#VALUE!</v>
      </c>
      <c r="AL89" s="573" t="e">
        <f>SUMIFS([12]Налоги!AK$15:AK$43,[12]Налоги!$A$15:$A$43,$A89,[12]Налоги!$M$15:$M$43,$B89)</f>
        <v>#VALUE!</v>
      </c>
      <c r="AM89" s="573" t="e">
        <f>SUMIFS([12]Налоги!AL$15:AL$43,[12]Налоги!$A$15:$A$43,$A89,[12]Налоги!$M$15:$M$43,$B89)</f>
        <v>#VALUE!</v>
      </c>
      <c r="AN89" s="573">
        <f t="shared" si="7"/>
        <v>0</v>
      </c>
      <c r="AO89" s="573">
        <f t="shared" si="14"/>
        <v>0</v>
      </c>
      <c r="AP89" s="573">
        <f t="shared" si="14"/>
        <v>0</v>
      </c>
      <c r="AQ89" s="573">
        <f t="shared" si="14"/>
        <v>0</v>
      </c>
      <c r="AR89" s="573">
        <f t="shared" si="14"/>
        <v>0</v>
      </c>
      <c r="AS89" s="573">
        <f t="shared" si="14"/>
        <v>0</v>
      </c>
      <c r="AT89" s="573" t="e">
        <f t="shared" si="14"/>
        <v>#VALUE!</v>
      </c>
      <c r="AU89" s="573" t="e">
        <f t="shared" si="14"/>
        <v>#VALUE!</v>
      </c>
      <c r="AV89" s="573" t="e">
        <f t="shared" si="14"/>
        <v>#VALUE!</v>
      </c>
      <c r="AW89" s="573" t="e">
        <f t="shared" si="14"/>
        <v>#VALUE!</v>
      </c>
      <c r="AX89" s="565"/>
      <c r="AY89" s="565"/>
      <c r="AZ89" s="565"/>
    </row>
    <row r="90" spans="1:52" ht="67.5" hidden="1" outlineLevel="1" x14ac:dyDescent="0.2">
      <c r="A90" s="557" t="str">
        <f t="shared" si="13"/>
        <v>1</v>
      </c>
      <c r="B90" s="537" t="s">
        <v>802</v>
      </c>
      <c r="D90" s="537" t="s">
        <v>803</v>
      </c>
      <c r="L90" s="568" t="s">
        <v>804</v>
      </c>
      <c r="M90" s="605" t="s">
        <v>805</v>
      </c>
      <c r="N90" s="570" t="s">
        <v>106</v>
      </c>
      <c r="O90" s="606"/>
      <c r="P90" s="606"/>
      <c r="Q90" s="606"/>
      <c r="R90" s="573">
        <v>0</v>
      </c>
      <c r="S90" s="606"/>
      <c r="T90" s="606"/>
      <c r="U90" s="606"/>
      <c r="V90" s="606"/>
      <c r="W90" s="606"/>
      <c r="X90" s="606"/>
      <c r="Y90" s="606"/>
      <c r="Z90" s="606"/>
      <c r="AA90" s="606"/>
      <c r="AB90" s="606"/>
      <c r="AC90" s="606"/>
      <c r="AD90" s="606"/>
      <c r="AE90" s="606"/>
      <c r="AF90" s="606"/>
      <c r="AG90" s="606"/>
      <c r="AH90" s="606"/>
      <c r="AI90" s="606"/>
      <c r="AJ90" s="606"/>
      <c r="AK90" s="606"/>
      <c r="AL90" s="606"/>
      <c r="AM90" s="606"/>
      <c r="AN90" s="573">
        <f t="shared" si="7"/>
        <v>0</v>
      </c>
      <c r="AO90" s="573">
        <f t="shared" si="14"/>
        <v>0</v>
      </c>
      <c r="AP90" s="573">
        <f t="shared" si="14"/>
        <v>0</v>
      </c>
      <c r="AQ90" s="573">
        <f t="shared" si="14"/>
        <v>0</v>
      </c>
      <c r="AR90" s="573">
        <f t="shared" si="14"/>
        <v>0</v>
      </c>
      <c r="AS90" s="573">
        <f t="shared" si="14"/>
        <v>0</v>
      </c>
      <c r="AT90" s="573">
        <f t="shared" si="14"/>
        <v>0</v>
      </c>
      <c r="AU90" s="573">
        <f t="shared" si="14"/>
        <v>0</v>
      </c>
      <c r="AV90" s="573">
        <f t="shared" si="14"/>
        <v>0</v>
      </c>
      <c r="AW90" s="573">
        <f t="shared" si="14"/>
        <v>0</v>
      </c>
      <c r="AX90" s="565"/>
      <c r="AY90" s="565"/>
      <c r="AZ90" s="565"/>
    </row>
    <row r="91" spans="1:52" ht="11.25" hidden="1" outlineLevel="1" x14ac:dyDescent="0.2">
      <c r="A91" s="557" t="str">
        <f t="shared" si="13"/>
        <v>1</v>
      </c>
      <c r="B91" s="537" t="s">
        <v>806</v>
      </c>
      <c r="D91" s="537" t="s">
        <v>807</v>
      </c>
      <c r="L91" s="568" t="s">
        <v>808</v>
      </c>
      <c r="M91" s="569" t="s">
        <v>806</v>
      </c>
      <c r="N91" s="570" t="s">
        <v>106</v>
      </c>
      <c r="O91" s="573">
        <v>0</v>
      </c>
      <c r="P91" s="573">
        <v>15</v>
      </c>
      <c r="Q91" s="573">
        <v>0</v>
      </c>
      <c r="R91" s="573">
        <v>-15</v>
      </c>
      <c r="S91" s="573">
        <v>0</v>
      </c>
      <c r="T91" s="573">
        <v>15</v>
      </c>
      <c r="U91" s="573">
        <v>15</v>
      </c>
      <c r="V91" s="573">
        <v>15</v>
      </c>
      <c r="W91" s="573">
        <v>15</v>
      </c>
      <c r="X91" s="573">
        <v>15</v>
      </c>
      <c r="Y91" s="573">
        <v>0</v>
      </c>
      <c r="Z91" s="573">
        <v>0</v>
      </c>
      <c r="AA91" s="573">
        <v>0</v>
      </c>
      <c r="AB91" s="573">
        <v>0</v>
      </c>
      <c r="AC91" s="573">
        <v>0</v>
      </c>
      <c r="AD91" s="573">
        <v>0</v>
      </c>
      <c r="AE91" s="573">
        <v>0</v>
      </c>
      <c r="AF91" s="573">
        <v>0</v>
      </c>
      <c r="AG91" s="573">
        <v>0</v>
      </c>
      <c r="AH91" s="573">
        <v>0</v>
      </c>
      <c r="AI91" s="573">
        <f>SUMIFS([12]Аренда!AH$15:AH$32,[12]Аренда!$A$15:$A$32,$A91,[12]Аренда!$M$15:$M$32,"Арендная и концессионная плата. Лизинговые платежи")</f>
        <v>0</v>
      </c>
      <c r="AJ91" s="573">
        <f>SUMIFS([12]Аренда!AI$15:AI$32,[12]Аренда!$A$15:$A$32,$A91,[12]Аренда!$M$15:$M$32,"Арендная и концессионная плата. Лизинговые платежи")</f>
        <v>0</v>
      </c>
      <c r="AK91" s="573">
        <f>SUMIFS([12]Аренда!AJ$15:AJ$32,[12]Аренда!$A$15:$A$32,$A91,[12]Аренда!$M$15:$M$32,"Арендная и концессионная плата. Лизинговые платежи")</f>
        <v>0</v>
      </c>
      <c r="AL91" s="573">
        <f>SUMIFS([12]Аренда!AK$15:AK$32,[12]Аренда!$A$15:$A$32,$A91,[12]Аренда!$M$15:$M$32,"Арендная и концессионная плата. Лизинговые платежи")</f>
        <v>0</v>
      </c>
      <c r="AM91" s="573">
        <f>SUMIFS([12]Аренда!AL$15:AL$32,[12]Аренда!$A$15:$A$32,$A91,[12]Аренда!$M$15:$M$32,"Арендная и концессионная плата. Лизинговые платежи")</f>
        <v>0</v>
      </c>
      <c r="AN91" s="573">
        <f t="shared" ref="AN91:AN110" si="15">IF(S91=0,0,(AD91-S91)/S91*100)</f>
        <v>0</v>
      </c>
      <c r="AO91" s="573">
        <f t="shared" si="14"/>
        <v>0</v>
      </c>
      <c r="AP91" s="573">
        <f t="shared" si="14"/>
        <v>0</v>
      </c>
      <c r="AQ91" s="573">
        <f t="shared" si="14"/>
        <v>0</v>
      </c>
      <c r="AR91" s="573">
        <f t="shared" si="14"/>
        <v>0</v>
      </c>
      <c r="AS91" s="573">
        <f t="shared" si="14"/>
        <v>0</v>
      </c>
      <c r="AT91" s="573">
        <f t="shared" si="14"/>
        <v>0</v>
      </c>
      <c r="AU91" s="573">
        <f t="shared" si="14"/>
        <v>0</v>
      </c>
      <c r="AV91" s="573">
        <f t="shared" si="14"/>
        <v>0</v>
      </c>
      <c r="AW91" s="573">
        <f t="shared" si="14"/>
        <v>0</v>
      </c>
      <c r="AX91" s="565"/>
      <c r="AY91" s="565"/>
      <c r="AZ91" s="565"/>
    </row>
    <row r="92" spans="1:52" ht="11.25" hidden="1" outlineLevel="1" x14ac:dyDescent="0.2">
      <c r="A92" s="557" t="str">
        <f t="shared" si="13"/>
        <v>1</v>
      </c>
      <c r="D92" s="537" t="s">
        <v>809</v>
      </c>
      <c r="L92" s="568" t="s">
        <v>810</v>
      </c>
      <c r="M92" s="569" t="s">
        <v>173</v>
      </c>
      <c r="N92" s="570" t="s">
        <v>106</v>
      </c>
      <c r="O92" s="583">
        <v>0</v>
      </c>
      <c r="P92" s="583">
        <v>0</v>
      </c>
      <c r="Q92" s="583">
        <v>0</v>
      </c>
      <c r="R92" s="573">
        <v>0</v>
      </c>
      <c r="S92" s="583">
        <v>0</v>
      </c>
      <c r="T92" s="583">
        <v>0</v>
      </c>
      <c r="U92" s="583">
        <v>0</v>
      </c>
      <c r="V92" s="583">
        <v>0</v>
      </c>
      <c r="W92" s="583">
        <v>0</v>
      </c>
      <c r="X92" s="583">
        <v>0</v>
      </c>
      <c r="Y92" s="583">
        <v>0</v>
      </c>
      <c r="Z92" s="583">
        <v>0</v>
      </c>
      <c r="AA92" s="583">
        <v>0</v>
      </c>
      <c r="AB92" s="583">
        <v>0</v>
      </c>
      <c r="AC92" s="583">
        <v>0</v>
      </c>
      <c r="AD92" s="583">
        <v>0</v>
      </c>
      <c r="AE92" s="583">
        <v>0</v>
      </c>
      <c r="AF92" s="583">
        <v>0</v>
      </c>
      <c r="AG92" s="583">
        <v>0</v>
      </c>
      <c r="AH92" s="583">
        <v>0</v>
      </c>
      <c r="AI92" s="583">
        <f t="shared" ref="AI92:AM92" si="16">AI93</f>
        <v>0</v>
      </c>
      <c r="AJ92" s="583">
        <f t="shared" si="16"/>
        <v>0</v>
      </c>
      <c r="AK92" s="583">
        <f t="shared" si="16"/>
        <v>0</v>
      </c>
      <c r="AL92" s="583">
        <f t="shared" si="16"/>
        <v>0</v>
      </c>
      <c r="AM92" s="583">
        <f t="shared" si="16"/>
        <v>0</v>
      </c>
      <c r="AN92" s="573">
        <f t="shared" si="15"/>
        <v>0</v>
      </c>
      <c r="AO92" s="573">
        <f t="shared" si="14"/>
        <v>0</v>
      </c>
      <c r="AP92" s="573">
        <f t="shared" si="14"/>
        <v>0</v>
      </c>
      <c r="AQ92" s="573">
        <f t="shared" si="14"/>
        <v>0</v>
      </c>
      <c r="AR92" s="573">
        <f t="shared" si="14"/>
        <v>0</v>
      </c>
      <c r="AS92" s="573">
        <f t="shared" si="14"/>
        <v>0</v>
      </c>
      <c r="AT92" s="573">
        <f t="shared" si="14"/>
        <v>0</v>
      </c>
      <c r="AU92" s="573">
        <f t="shared" si="14"/>
        <v>0</v>
      </c>
      <c r="AV92" s="573">
        <f t="shared" si="14"/>
        <v>0</v>
      </c>
      <c r="AW92" s="573">
        <f t="shared" si="14"/>
        <v>0</v>
      </c>
      <c r="AX92" s="565"/>
      <c r="AY92" s="565"/>
      <c r="AZ92" s="565"/>
    </row>
    <row r="93" spans="1:52" ht="11.25" hidden="1" outlineLevel="1" x14ac:dyDescent="0.2">
      <c r="A93" s="557" t="str">
        <f t="shared" si="13"/>
        <v>1</v>
      </c>
      <c r="B93" s="537" t="s">
        <v>811</v>
      </c>
      <c r="D93" s="537" t="s">
        <v>812</v>
      </c>
      <c r="L93" s="568" t="s">
        <v>813</v>
      </c>
      <c r="M93" s="578" t="s">
        <v>811</v>
      </c>
      <c r="N93" s="570" t="s">
        <v>106</v>
      </c>
      <c r="O93" s="587">
        <v>0</v>
      </c>
      <c r="P93" s="587">
        <v>0</v>
      </c>
      <c r="Q93" s="587">
        <v>0</v>
      </c>
      <c r="R93" s="573">
        <v>0</v>
      </c>
      <c r="S93" s="587">
        <v>0</v>
      </c>
      <c r="T93" s="587">
        <v>0</v>
      </c>
      <c r="U93" s="583"/>
      <c r="V93" s="583"/>
      <c r="W93" s="583"/>
      <c r="X93" s="583"/>
      <c r="Y93" s="583"/>
      <c r="Z93" s="583"/>
      <c r="AA93" s="583"/>
      <c r="AB93" s="583"/>
      <c r="AC93" s="583"/>
      <c r="AD93" s="587">
        <v>0</v>
      </c>
      <c r="AE93" s="583"/>
      <c r="AF93" s="583"/>
      <c r="AG93" s="583"/>
      <c r="AH93" s="583"/>
      <c r="AI93" s="583"/>
      <c r="AJ93" s="583"/>
      <c r="AK93" s="583"/>
      <c r="AL93" s="583"/>
      <c r="AM93" s="583"/>
      <c r="AN93" s="573">
        <f t="shared" si="15"/>
        <v>0</v>
      </c>
      <c r="AO93" s="573">
        <f t="shared" si="14"/>
        <v>0</v>
      </c>
      <c r="AP93" s="573">
        <f t="shared" si="14"/>
        <v>0</v>
      </c>
      <c r="AQ93" s="573">
        <f t="shared" si="14"/>
        <v>0</v>
      </c>
      <c r="AR93" s="573">
        <f t="shared" si="14"/>
        <v>0</v>
      </c>
      <c r="AS93" s="573">
        <f t="shared" si="14"/>
        <v>0</v>
      </c>
      <c r="AT93" s="573">
        <f t="shared" si="14"/>
        <v>0</v>
      </c>
      <c r="AU93" s="573">
        <f t="shared" si="14"/>
        <v>0</v>
      </c>
      <c r="AV93" s="573">
        <f t="shared" si="14"/>
        <v>0</v>
      </c>
      <c r="AW93" s="573">
        <f t="shared" si="14"/>
        <v>0</v>
      </c>
      <c r="AX93" s="565"/>
      <c r="AY93" s="565"/>
      <c r="AZ93" s="565"/>
    </row>
    <row r="94" spans="1:52" ht="11.25" hidden="1" outlineLevel="1" x14ac:dyDescent="0.2">
      <c r="A94" s="557" t="str">
        <f t="shared" si="13"/>
        <v>1</v>
      </c>
      <c r="B94" s="537" t="s">
        <v>175</v>
      </c>
      <c r="D94" s="537" t="s">
        <v>814</v>
      </c>
      <c r="L94" s="568" t="s">
        <v>815</v>
      </c>
      <c r="M94" s="569" t="s">
        <v>175</v>
      </c>
      <c r="N94" s="570" t="s">
        <v>106</v>
      </c>
      <c r="O94" s="583"/>
      <c r="P94" s="583"/>
      <c r="Q94" s="583"/>
      <c r="R94" s="573">
        <v>0</v>
      </c>
      <c r="S94" s="583"/>
      <c r="T94" s="583">
        <v>0</v>
      </c>
      <c r="U94" s="583">
        <v>0</v>
      </c>
      <c r="V94" s="583">
        <v>0</v>
      </c>
      <c r="W94" s="583">
        <v>0</v>
      </c>
      <c r="X94" s="583">
        <v>0</v>
      </c>
      <c r="Y94" s="583">
        <v>0</v>
      </c>
      <c r="Z94" s="583">
        <v>0</v>
      </c>
      <c r="AA94" s="583">
        <v>0</v>
      </c>
      <c r="AB94" s="583">
        <v>0</v>
      </c>
      <c r="AC94" s="583">
        <v>0</v>
      </c>
      <c r="AD94" s="583">
        <v>0</v>
      </c>
      <c r="AE94" s="583">
        <v>0</v>
      </c>
      <c r="AF94" s="583">
        <v>0</v>
      </c>
      <c r="AG94" s="583">
        <v>0</v>
      </c>
      <c r="AH94" s="583">
        <v>0</v>
      </c>
      <c r="AI94" s="583">
        <f>SUMIFS([12]Экономия_корр!AD$15:AD$32,[12]Экономия_корр!$A$15:$A$32,$A94,[12]Экономия_корр!$M$15:$M$32,"Экономия расходов с учетом ИПЦ")</f>
        <v>0</v>
      </c>
      <c r="AJ94" s="583">
        <f>SUMIFS([12]Экономия_корр!AE$15:AE$32,[12]Экономия_корр!$A$15:$A$32,$A94,[12]Экономия_корр!$M$15:$M$32,"Экономия расходов с учетом ИПЦ")</f>
        <v>0</v>
      </c>
      <c r="AK94" s="583">
        <f>SUMIFS([12]Экономия_корр!AF$15:AF$32,[12]Экономия_корр!$A$15:$A$32,$A94,[12]Экономия_корр!$M$15:$M$32,"Экономия расходов с учетом ИПЦ")</f>
        <v>0</v>
      </c>
      <c r="AL94" s="583">
        <f>SUMIFS([12]Экономия_корр!AG$15:AG$32,[12]Экономия_корр!$A$15:$A$32,$A94,[12]Экономия_корр!$M$15:$M$32,"Экономия расходов с учетом ИПЦ")</f>
        <v>0</v>
      </c>
      <c r="AM94" s="583">
        <f>SUMIFS([12]Экономия_корр!AH$15:AH$32,[12]Экономия_корр!$A$15:$A$32,$A94,[12]Экономия_корр!$M$15:$M$32,"Экономия расходов с учетом ИПЦ")</f>
        <v>0</v>
      </c>
      <c r="AN94" s="573">
        <f t="shared" si="15"/>
        <v>0</v>
      </c>
      <c r="AO94" s="573">
        <f t="shared" si="14"/>
        <v>0</v>
      </c>
      <c r="AP94" s="573">
        <f t="shared" si="14"/>
        <v>0</v>
      </c>
      <c r="AQ94" s="573">
        <f t="shared" si="14"/>
        <v>0</v>
      </c>
      <c r="AR94" s="573">
        <f t="shared" si="14"/>
        <v>0</v>
      </c>
      <c r="AS94" s="573">
        <f t="shared" si="14"/>
        <v>0</v>
      </c>
      <c r="AT94" s="573">
        <f t="shared" si="14"/>
        <v>0</v>
      </c>
      <c r="AU94" s="573">
        <f t="shared" si="14"/>
        <v>0</v>
      </c>
      <c r="AV94" s="573">
        <f t="shared" si="14"/>
        <v>0</v>
      </c>
      <c r="AW94" s="573">
        <f t="shared" si="14"/>
        <v>0</v>
      </c>
      <c r="AX94" s="565"/>
      <c r="AY94" s="565"/>
      <c r="AZ94" s="565"/>
    </row>
    <row r="95" spans="1:52" ht="11.25" hidden="1" outlineLevel="1" x14ac:dyDescent="0.2">
      <c r="A95" s="557" t="str">
        <f t="shared" si="13"/>
        <v>1</v>
      </c>
      <c r="B95" s="537" t="s">
        <v>177</v>
      </c>
      <c r="D95" s="537" t="s">
        <v>816</v>
      </c>
      <c r="L95" s="568" t="s">
        <v>817</v>
      </c>
      <c r="M95" s="569" t="s">
        <v>177</v>
      </c>
      <c r="N95" s="570" t="s">
        <v>106</v>
      </c>
      <c r="O95" s="583">
        <v>275.64999999999998</v>
      </c>
      <c r="P95" s="583">
        <v>0</v>
      </c>
      <c r="Q95" s="583">
        <v>0</v>
      </c>
      <c r="R95" s="573">
        <v>0</v>
      </c>
      <c r="S95" s="583"/>
      <c r="T95" s="583"/>
      <c r="U95" s="583"/>
      <c r="V95" s="583"/>
      <c r="W95" s="583"/>
      <c r="X95" s="583"/>
      <c r="Y95" s="583"/>
      <c r="Z95" s="583"/>
      <c r="AA95" s="583"/>
      <c r="AB95" s="583"/>
      <c r="AC95" s="583"/>
      <c r="AD95" s="583"/>
      <c r="AE95" s="583"/>
      <c r="AF95" s="583"/>
      <c r="AG95" s="583"/>
      <c r="AH95" s="583"/>
      <c r="AI95" s="583"/>
      <c r="AJ95" s="583"/>
      <c r="AK95" s="583"/>
      <c r="AL95" s="583"/>
      <c r="AM95" s="583"/>
      <c r="AN95" s="573">
        <f t="shared" si="15"/>
        <v>0</v>
      </c>
      <c r="AO95" s="573">
        <f t="shared" si="14"/>
        <v>0</v>
      </c>
      <c r="AP95" s="573">
        <f t="shared" si="14"/>
        <v>0</v>
      </c>
      <c r="AQ95" s="573">
        <f t="shared" si="14"/>
        <v>0</v>
      </c>
      <c r="AR95" s="573">
        <f t="shared" si="14"/>
        <v>0</v>
      </c>
      <c r="AS95" s="573">
        <f t="shared" si="14"/>
        <v>0</v>
      </c>
      <c r="AT95" s="573">
        <f t="shared" si="14"/>
        <v>0</v>
      </c>
      <c r="AU95" s="573">
        <f t="shared" si="14"/>
        <v>0</v>
      </c>
      <c r="AV95" s="573">
        <f t="shared" si="14"/>
        <v>0</v>
      </c>
      <c r="AW95" s="573">
        <f t="shared" si="14"/>
        <v>0</v>
      </c>
      <c r="AX95" s="565"/>
      <c r="AY95" s="565"/>
      <c r="AZ95" s="565"/>
    </row>
    <row r="96" spans="1:52" ht="11.25" hidden="1" outlineLevel="1" x14ac:dyDescent="0.2">
      <c r="A96" s="557" t="str">
        <f t="shared" si="13"/>
        <v>1</v>
      </c>
      <c r="B96" s="537" t="s">
        <v>179</v>
      </c>
      <c r="D96" s="537" t="s">
        <v>818</v>
      </c>
      <c r="L96" s="568" t="s">
        <v>819</v>
      </c>
      <c r="M96" s="569" t="s">
        <v>179</v>
      </c>
      <c r="N96" s="570" t="s">
        <v>106</v>
      </c>
      <c r="O96" s="583"/>
      <c r="P96" s="583"/>
      <c r="Q96" s="583"/>
      <c r="R96" s="573">
        <v>0</v>
      </c>
      <c r="S96" s="583"/>
      <c r="T96" s="583"/>
      <c r="U96" s="583"/>
      <c r="V96" s="583"/>
      <c r="W96" s="583"/>
      <c r="X96" s="583"/>
      <c r="Y96" s="583"/>
      <c r="Z96" s="583"/>
      <c r="AA96" s="583"/>
      <c r="AB96" s="583"/>
      <c r="AC96" s="583"/>
      <c r="AD96" s="583"/>
      <c r="AE96" s="583"/>
      <c r="AF96" s="583"/>
      <c r="AG96" s="583"/>
      <c r="AH96" s="583"/>
      <c r="AI96" s="583"/>
      <c r="AJ96" s="583"/>
      <c r="AK96" s="583"/>
      <c r="AL96" s="583"/>
      <c r="AM96" s="583"/>
      <c r="AN96" s="573">
        <f t="shared" si="15"/>
        <v>0</v>
      </c>
      <c r="AO96" s="573">
        <f t="shared" si="14"/>
        <v>0</v>
      </c>
      <c r="AP96" s="573">
        <f t="shared" si="14"/>
        <v>0</v>
      </c>
      <c r="AQ96" s="573">
        <f t="shared" si="14"/>
        <v>0</v>
      </c>
      <c r="AR96" s="573">
        <f t="shared" si="14"/>
        <v>0</v>
      </c>
      <c r="AS96" s="573">
        <f t="shared" si="14"/>
        <v>0</v>
      </c>
      <c r="AT96" s="573">
        <f t="shared" si="14"/>
        <v>0</v>
      </c>
      <c r="AU96" s="573">
        <f t="shared" si="14"/>
        <v>0</v>
      </c>
      <c r="AV96" s="573">
        <f t="shared" si="14"/>
        <v>0</v>
      </c>
      <c r="AW96" s="573">
        <f t="shared" si="14"/>
        <v>0</v>
      </c>
      <c r="AX96" s="565"/>
      <c r="AY96" s="565"/>
      <c r="AZ96" s="565"/>
    </row>
    <row r="97" spans="1:52" ht="11.25" hidden="1" outlineLevel="1" x14ac:dyDescent="0.2">
      <c r="A97" s="557" t="str">
        <f t="shared" si="13"/>
        <v>1</v>
      </c>
      <c r="B97" s="537" t="s">
        <v>185</v>
      </c>
      <c r="D97" s="537" t="s">
        <v>820</v>
      </c>
      <c r="L97" s="568" t="s">
        <v>821</v>
      </c>
      <c r="M97" s="569" t="s">
        <v>185</v>
      </c>
      <c r="N97" s="570" t="s">
        <v>106</v>
      </c>
      <c r="O97" s="585">
        <v>0</v>
      </c>
      <c r="P97" s="573">
        <v>0</v>
      </c>
      <c r="Q97" s="573">
        <v>0</v>
      </c>
      <c r="R97" s="573">
        <v>0</v>
      </c>
      <c r="S97" s="573">
        <v>0</v>
      </c>
      <c r="T97" s="585">
        <v>0</v>
      </c>
      <c r="U97" s="573">
        <v>0</v>
      </c>
      <c r="V97" s="573">
        <v>0</v>
      </c>
      <c r="W97" s="573">
        <v>0</v>
      </c>
      <c r="X97" s="573">
        <v>0</v>
      </c>
      <c r="Y97" s="573">
        <v>0</v>
      </c>
      <c r="Z97" s="573">
        <v>0</v>
      </c>
      <c r="AA97" s="573">
        <v>0</v>
      </c>
      <c r="AB97" s="573">
        <v>0</v>
      </c>
      <c r="AC97" s="573">
        <v>0</v>
      </c>
      <c r="AD97" s="585">
        <v>0</v>
      </c>
      <c r="AE97" s="573">
        <v>0</v>
      </c>
      <c r="AF97" s="573">
        <v>0</v>
      </c>
      <c r="AG97" s="573">
        <v>0</v>
      </c>
      <c r="AH97" s="573">
        <v>0</v>
      </c>
      <c r="AI97" s="573">
        <f t="shared" ref="AI97:AM97" si="17">SUM(AI98,AI99)</f>
        <v>0</v>
      </c>
      <c r="AJ97" s="573">
        <f t="shared" si="17"/>
        <v>0</v>
      </c>
      <c r="AK97" s="573">
        <f t="shared" si="17"/>
        <v>0</v>
      </c>
      <c r="AL97" s="573">
        <f t="shared" si="17"/>
        <v>0</v>
      </c>
      <c r="AM97" s="573">
        <f t="shared" si="17"/>
        <v>0</v>
      </c>
      <c r="AN97" s="573">
        <f t="shared" si="15"/>
        <v>0</v>
      </c>
      <c r="AO97" s="573">
        <f t="shared" si="14"/>
        <v>0</v>
      </c>
      <c r="AP97" s="573">
        <f t="shared" si="14"/>
        <v>0</v>
      </c>
      <c r="AQ97" s="573">
        <f t="shared" si="14"/>
        <v>0</v>
      </c>
      <c r="AR97" s="573">
        <f t="shared" si="14"/>
        <v>0</v>
      </c>
      <c r="AS97" s="573">
        <f t="shared" si="14"/>
        <v>0</v>
      </c>
      <c r="AT97" s="573">
        <f t="shared" si="14"/>
        <v>0</v>
      </c>
      <c r="AU97" s="573">
        <f t="shared" si="14"/>
        <v>0</v>
      </c>
      <c r="AV97" s="573">
        <f t="shared" si="14"/>
        <v>0</v>
      </c>
      <c r="AW97" s="573">
        <f t="shared" si="14"/>
        <v>0</v>
      </c>
      <c r="AX97" s="565"/>
      <c r="AY97" s="565"/>
      <c r="AZ97" s="565"/>
    </row>
    <row r="98" spans="1:52" ht="11.25" hidden="1" outlineLevel="1" x14ac:dyDescent="0.2">
      <c r="A98" s="557" t="str">
        <f t="shared" si="13"/>
        <v>1</v>
      </c>
      <c r="D98" s="537" t="s">
        <v>822</v>
      </c>
      <c r="L98" s="568" t="s">
        <v>823</v>
      </c>
      <c r="M98" s="578" t="s">
        <v>824</v>
      </c>
      <c r="N98" s="570" t="s">
        <v>106</v>
      </c>
      <c r="O98" s="583"/>
      <c r="P98" s="583"/>
      <c r="Q98" s="583"/>
      <c r="R98" s="573">
        <v>0</v>
      </c>
      <c r="S98" s="583"/>
      <c r="T98" s="583"/>
      <c r="U98" s="583"/>
      <c r="V98" s="583"/>
      <c r="W98" s="583"/>
      <c r="X98" s="583"/>
      <c r="Y98" s="583"/>
      <c r="Z98" s="583"/>
      <c r="AA98" s="583"/>
      <c r="AB98" s="583"/>
      <c r="AC98" s="583"/>
      <c r="AD98" s="583"/>
      <c r="AE98" s="583"/>
      <c r="AF98" s="583"/>
      <c r="AG98" s="583"/>
      <c r="AH98" s="583"/>
      <c r="AI98" s="583"/>
      <c r="AJ98" s="583"/>
      <c r="AK98" s="583"/>
      <c r="AL98" s="583"/>
      <c r="AM98" s="583"/>
      <c r="AN98" s="573">
        <f t="shared" si="15"/>
        <v>0</v>
      </c>
      <c r="AO98" s="573">
        <f t="shared" si="14"/>
        <v>0</v>
      </c>
      <c r="AP98" s="573">
        <f t="shared" si="14"/>
        <v>0</v>
      </c>
      <c r="AQ98" s="573">
        <f t="shared" si="14"/>
        <v>0</v>
      </c>
      <c r="AR98" s="573">
        <f t="shared" si="14"/>
        <v>0</v>
      </c>
      <c r="AS98" s="573">
        <f t="shared" si="14"/>
        <v>0</v>
      </c>
      <c r="AT98" s="573">
        <f t="shared" si="14"/>
        <v>0</v>
      </c>
      <c r="AU98" s="573">
        <f t="shared" si="14"/>
        <v>0</v>
      </c>
      <c r="AV98" s="573">
        <f t="shared" si="14"/>
        <v>0</v>
      </c>
      <c r="AW98" s="573">
        <f t="shared" si="14"/>
        <v>0</v>
      </c>
      <c r="AX98" s="565"/>
      <c r="AY98" s="565"/>
      <c r="AZ98" s="565"/>
    </row>
    <row r="99" spans="1:52" ht="11.25" hidden="1" outlineLevel="1" x14ac:dyDescent="0.2">
      <c r="A99" s="557" t="str">
        <f t="shared" si="13"/>
        <v>1</v>
      </c>
      <c r="D99" s="537" t="s">
        <v>825</v>
      </c>
      <c r="L99" s="568" t="s">
        <v>826</v>
      </c>
      <c r="M99" s="578" t="s">
        <v>827</v>
      </c>
      <c r="N99" s="570" t="s">
        <v>106</v>
      </c>
      <c r="O99" s="583"/>
      <c r="P99" s="583"/>
      <c r="Q99" s="583"/>
      <c r="R99" s="573">
        <v>0</v>
      </c>
      <c r="S99" s="583"/>
      <c r="T99" s="583"/>
      <c r="U99" s="583"/>
      <c r="V99" s="583"/>
      <c r="W99" s="583"/>
      <c r="X99" s="583"/>
      <c r="Y99" s="583"/>
      <c r="Z99" s="583"/>
      <c r="AA99" s="583"/>
      <c r="AB99" s="583"/>
      <c r="AC99" s="583"/>
      <c r="AD99" s="583"/>
      <c r="AE99" s="583"/>
      <c r="AF99" s="583"/>
      <c r="AG99" s="583"/>
      <c r="AH99" s="583"/>
      <c r="AI99" s="583"/>
      <c r="AJ99" s="583"/>
      <c r="AK99" s="583"/>
      <c r="AL99" s="583"/>
      <c r="AM99" s="583"/>
      <c r="AN99" s="573">
        <f t="shared" si="15"/>
        <v>0</v>
      </c>
      <c r="AO99" s="573">
        <f t="shared" ref="AO99:AW110" si="18">IF(AD99=0,0,(AE99-AD99)/AD99*100)</f>
        <v>0</v>
      </c>
      <c r="AP99" s="573">
        <f t="shared" si="18"/>
        <v>0</v>
      </c>
      <c r="AQ99" s="573">
        <f t="shared" si="18"/>
        <v>0</v>
      </c>
      <c r="AR99" s="573">
        <f t="shared" si="18"/>
        <v>0</v>
      </c>
      <c r="AS99" s="573">
        <f t="shared" si="18"/>
        <v>0</v>
      </c>
      <c r="AT99" s="573">
        <f t="shared" si="18"/>
        <v>0</v>
      </c>
      <c r="AU99" s="573">
        <f t="shared" si="18"/>
        <v>0</v>
      </c>
      <c r="AV99" s="573">
        <f t="shared" si="18"/>
        <v>0</v>
      </c>
      <c r="AW99" s="573">
        <f t="shared" si="18"/>
        <v>0</v>
      </c>
      <c r="AX99" s="565"/>
      <c r="AY99" s="565"/>
      <c r="AZ99" s="565"/>
    </row>
    <row r="100" spans="1:52" ht="22.5" hidden="1" outlineLevel="1" x14ac:dyDescent="0.2">
      <c r="A100" s="557" t="str">
        <f t="shared" si="13"/>
        <v>1</v>
      </c>
      <c r="B100" s="537" t="s">
        <v>828</v>
      </c>
      <c r="D100" s="537" t="s">
        <v>829</v>
      </c>
      <c r="L100" s="568" t="s">
        <v>830</v>
      </c>
      <c r="M100" s="569" t="s">
        <v>831</v>
      </c>
      <c r="N100" s="570" t="s">
        <v>106</v>
      </c>
      <c r="O100" s="583"/>
      <c r="P100" s="583"/>
      <c r="Q100" s="583"/>
      <c r="R100" s="573">
        <v>0</v>
      </c>
      <c r="S100" s="583"/>
      <c r="T100" s="583"/>
      <c r="U100" s="583"/>
      <c r="V100" s="583"/>
      <c r="W100" s="583"/>
      <c r="X100" s="583"/>
      <c r="Y100" s="583"/>
      <c r="Z100" s="583"/>
      <c r="AA100" s="583"/>
      <c r="AB100" s="583"/>
      <c r="AC100" s="583"/>
      <c r="AD100" s="583"/>
      <c r="AE100" s="583"/>
      <c r="AF100" s="583"/>
      <c r="AG100" s="583"/>
      <c r="AH100" s="583"/>
      <c r="AI100" s="583"/>
      <c r="AJ100" s="583"/>
      <c r="AK100" s="583"/>
      <c r="AL100" s="583"/>
      <c r="AM100" s="583"/>
      <c r="AN100" s="573">
        <f t="shared" si="15"/>
        <v>0</v>
      </c>
      <c r="AO100" s="573">
        <f t="shared" si="18"/>
        <v>0</v>
      </c>
      <c r="AP100" s="573">
        <f t="shared" si="18"/>
        <v>0</v>
      </c>
      <c r="AQ100" s="573">
        <f t="shared" si="18"/>
        <v>0</v>
      </c>
      <c r="AR100" s="573">
        <f t="shared" si="18"/>
        <v>0</v>
      </c>
      <c r="AS100" s="573">
        <f t="shared" si="18"/>
        <v>0</v>
      </c>
      <c r="AT100" s="573">
        <f t="shared" si="18"/>
        <v>0</v>
      </c>
      <c r="AU100" s="573">
        <f t="shared" si="18"/>
        <v>0</v>
      </c>
      <c r="AV100" s="573">
        <f t="shared" si="18"/>
        <v>0</v>
      </c>
      <c r="AW100" s="573">
        <f t="shared" si="18"/>
        <v>0</v>
      </c>
      <c r="AX100" s="565"/>
      <c r="AY100" s="565"/>
      <c r="AZ100" s="565"/>
    </row>
    <row r="101" spans="1:52" s="590" customFormat="1" ht="11.25" hidden="1" outlineLevel="1" x14ac:dyDescent="0.2">
      <c r="A101" s="557" t="str">
        <f t="shared" si="13"/>
        <v>1</v>
      </c>
      <c r="B101" s="537" t="s">
        <v>832</v>
      </c>
      <c r="C101" s="537"/>
      <c r="D101" s="537" t="s">
        <v>833</v>
      </c>
      <c r="L101" s="591" t="s">
        <v>120</v>
      </c>
      <c r="M101" s="561" t="s">
        <v>834</v>
      </c>
      <c r="N101" s="593" t="s">
        <v>106</v>
      </c>
      <c r="O101" s="563">
        <v>370.68</v>
      </c>
      <c r="P101" s="563">
        <v>488.55446000000001</v>
      </c>
      <c r="Q101" s="563">
        <v>390.33</v>
      </c>
      <c r="R101" s="563">
        <v>-98.224460000000022</v>
      </c>
      <c r="S101" s="563">
        <v>378.93</v>
      </c>
      <c r="T101" s="563">
        <v>551.23</v>
      </c>
      <c r="U101" s="563">
        <v>583.25</v>
      </c>
      <c r="V101" s="563">
        <v>617.12</v>
      </c>
      <c r="W101" s="563">
        <v>652.85</v>
      </c>
      <c r="X101" s="563">
        <v>690.9</v>
      </c>
      <c r="Y101" s="563">
        <v>0</v>
      </c>
      <c r="Z101" s="563">
        <v>0</v>
      </c>
      <c r="AA101" s="563">
        <v>0</v>
      </c>
      <c r="AB101" s="563">
        <v>0</v>
      </c>
      <c r="AC101" s="563">
        <v>0</v>
      </c>
      <c r="AD101" s="563">
        <v>565.97</v>
      </c>
      <c r="AE101" s="563">
        <v>615.21</v>
      </c>
      <c r="AF101" s="563">
        <v>647.20000000000005</v>
      </c>
      <c r="AG101" s="563">
        <v>680.85</v>
      </c>
      <c r="AH101" s="563">
        <v>716.25</v>
      </c>
      <c r="AI101" s="563" t="e">
        <f>SUMIFS([12]ЭЭ!AH$15:AH$42,[12]ЭЭ!$A$15:$A$42,$A101,[12]ЭЭ!$M$15:$M$42,"Всего по тарифу")</f>
        <v>#VALUE!</v>
      </c>
      <c r="AJ101" s="563" t="e">
        <f>SUMIFS([12]ЭЭ!AI$15:AI$42,[12]ЭЭ!$A$15:$A$42,$A101,[12]ЭЭ!$M$15:$M$42,"Всего по тарифу")</f>
        <v>#VALUE!</v>
      </c>
      <c r="AK101" s="563" t="e">
        <f>SUMIFS([12]ЭЭ!AJ$15:AJ$42,[12]ЭЭ!$A$15:$A$42,$A101,[12]ЭЭ!$M$15:$M$42,"Всего по тарифу")</f>
        <v>#VALUE!</v>
      </c>
      <c r="AL101" s="563" t="e">
        <f>SUMIFS([12]ЭЭ!AK$15:AK$42,[12]ЭЭ!$A$15:$A$42,$A101,[12]ЭЭ!$M$15:$M$42,"Всего по тарифу")</f>
        <v>#VALUE!</v>
      </c>
      <c r="AM101" s="563" t="e">
        <f>SUMIFS([12]ЭЭ!AL$15:AL$42,[12]ЭЭ!$A$15:$A$42,$A101,[12]ЭЭ!$M$15:$M$42,"Всего по тарифу")</f>
        <v>#VALUE!</v>
      </c>
      <c r="AN101" s="563">
        <f>IF(S101=0,0,(AD101-S101)/S101*100)</f>
        <v>49.360040112949626</v>
      </c>
      <c r="AO101" s="563">
        <f t="shared" si="18"/>
        <v>8.7001077795642896</v>
      </c>
      <c r="AP101" s="563">
        <f t="shared" si="18"/>
        <v>5.1998504575673357</v>
      </c>
      <c r="AQ101" s="563">
        <f t="shared" si="18"/>
        <v>5.1993201483312692</v>
      </c>
      <c r="AR101" s="563">
        <f t="shared" si="18"/>
        <v>5.1993831240361281</v>
      </c>
      <c r="AS101" s="563" t="e">
        <f t="shared" si="18"/>
        <v>#VALUE!</v>
      </c>
      <c r="AT101" s="563" t="e">
        <f t="shared" si="18"/>
        <v>#VALUE!</v>
      </c>
      <c r="AU101" s="563" t="e">
        <f t="shared" si="18"/>
        <v>#VALUE!</v>
      </c>
      <c r="AV101" s="563" t="e">
        <f t="shared" si="18"/>
        <v>#VALUE!</v>
      </c>
      <c r="AW101" s="563" t="e">
        <f t="shared" si="18"/>
        <v>#VALUE!</v>
      </c>
      <c r="AX101" s="565"/>
      <c r="AY101" s="565"/>
      <c r="AZ101" s="565"/>
    </row>
    <row r="102" spans="1:52" s="590" customFormat="1" ht="22.5" hidden="1" outlineLevel="1" x14ac:dyDescent="0.2">
      <c r="A102" s="557" t="str">
        <f t="shared" si="13"/>
        <v>1</v>
      </c>
      <c r="B102" s="537" t="s">
        <v>835</v>
      </c>
      <c r="C102" s="537"/>
      <c r="D102" s="537" t="s">
        <v>836</v>
      </c>
      <c r="L102" s="591" t="s">
        <v>455</v>
      </c>
      <c r="M102" s="561" t="s">
        <v>837</v>
      </c>
      <c r="N102" s="593" t="s">
        <v>106</v>
      </c>
      <c r="O102" s="563">
        <v>17.5</v>
      </c>
      <c r="P102" s="563">
        <v>46.881360000000001</v>
      </c>
      <c r="Q102" s="563">
        <v>38.130000000000003</v>
      </c>
      <c r="R102" s="563">
        <v>-8.7513599999999983</v>
      </c>
      <c r="S102" s="563">
        <v>0</v>
      </c>
      <c r="T102" s="563">
        <v>386.72</v>
      </c>
      <c r="U102" s="563">
        <v>386.72</v>
      </c>
      <c r="V102" s="563">
        <v>293.72000000000003</v>
      </c>
      <c r="W102" s="563">
        <v>293.72000000000003</v>
      </c>
      <c r="X102" s="563">
        <v>293.72000000000003</v>
      </c>
      <c r="Y102" s="563">
        <v>0</v>
      </c>
      <c r="Z102" s="563">
        <v>0</v>
      </c>
      <c r="AA102" s="563">
        <v>0</v>
      </c>
      <c r="AB102" s="563">
        <v>0</v>
      </c>
      <c r="AC102" s="563">
        <v>0</v>
      </c>
      <c r="AD102" s="563">
        <v>0</v>
      </c>
      <c r="AE102" s="563">
        <v>0</v>
      </c>
      <c r="AF102" s="563">
        <v>0</v>
      </c>
      <c r="AG102" s="563">
        <v>0</v>
      </c>
      <c r="AH102" s="563">
        <v>0</v>
      </c>
      <c r="AI102" s="563">
        <f>SUMIFS([12]Амортизация!AH$15:AH$114,[12]Амортизация!$A$15:$A$114,$A102,[12]Амортизация!$M$15:$M$114,"Сумма амортизационных отчислений")</f>
        <v>0</v>
      </c>
      <c r="AJ102" s="563">
        <f>SUMIFS([12]Амортизация!AI$15:AI$114,[12]Амортизация!$A$15:$A$114,$A102,[12]Амортизация!$M$15:$M$114,"Сумма амортизационных отчислений")</f>
        <v>0</v>
      </c>
      <c r="AK102" s="563">
        <f>SUMIFS([12]Амортизация!AJ$15:AJ$114,[12]Амортизация!$A$15:$A$114,$A102,[12]Амортизация!$M$15:$M$114,"Сумма амортизационных отчислений")</f>
        <v>0</v>
      </c>
      <c r="AL102" s="563">
        <f>SUMIFS([12]Амортизация!AK$15:AK$114,[12]Амортизация!$A$15:$A$114,$A102,[12]Амортизация!$M$15:$M$114,"Сумма амортизационных отчислений")</f>
        <v>0</v>
      </c>
      <c r="AM102" s="563">
        <f>SUMIFS([12]Амортизация!AL$15:AL$114,[12]Амортизация!$A$15:$A$114,$A102,[12]Амортизация!$M$15:$M$114,"Сумма амортизационных отчислений")</f>
        <v>0</v>
      </c>
      <c r="AN102" s="563">
        <f t="shared" si="15"/>
        <v>0</v>
      </c>
      <c r="AO102" s="563">
        <f t="shared" si="18"/>
        <v>0</v>
      </c>
      <c r="AP102" s="563">
        <f t="shared" si="18"/>
        <v>0</v>
      </c>
      <c r="AQ102" s="563">
        <f t="shared" si="18"/>
        <v>0</v>
      </c>
      <c r="AR102" s="563">
        <f t="shared" si="18"/>
        <v>0</v>
      </c>
      <c r="AS102" s="563">
        <f t="shared" si="18"/>
        <v>0</v>
      </c>
      <c r="AT102" s="563">
        <f t="shared" si="18"/>
        <v>0</v>
      </c>
      <c r="AU102" s="563">
        <f t="shared" si="18"/>
        <v>0</v>
      </c>
      <c r="AV102" s="563">
        <f t="shared" si="18"/>
        <v>0</v>
      </c>
      <c r="AW102" s="563">
        <f t="shared" si="18"/>
        <v>0</v>
      </c>
      <c r="AX102" s="565"/>
      <c r="AY102" s="565"/>
      <c r="AZ102" s="565"/>
    </row>
    <row r="103" spans="1:52" ht="11.25" hidden="1" outlineLevel="1" x14ac:dyDescent="0.2">
      <c r="A103" s="557" t="str">
        <f t="shared" si="13"/>
        <v>1</v>
      </c>
      <c r="D103" s="537" t="s">
        <v>838</v>
      </c>
      <c r="L103" s="568" t="s">
        <v>192</v>
      </c>
      <c r="M103" s="607" t="s">
        <v>839</v>
      </c>
      <c r="N103" s="570" t="s">
        <v>106</v>
      </c>
      <c r="O103" s="583">
        <v>0</v>
      </c>
      <c r="P103" s="583">
        <v>0</v>
      </c>
      <c r="Q103" s="583">
        <v>0</v>
      </c>
      <c r="R103" s="573">
        <v>0</v>
      </c>
      <c r="S103" s="583">
        <v>0</v>
      </c>
      <c r="T103" s="583">
        <v>0</v>
      </c>
      <c r="U103" s="583">
        <v>0</v>
      </c>
      <c r="V103" s="583">
        <v>0</v>
      </c>
      <c r="W103" s="583">
        <v>0</v>
      </c>
      <c r="X103" s="583">
        <v>0</v>
      </c>
      <c r="Y103" s="583">
        <v>0</v>
      </c>
      <c r="Z103" s="583">
        <v>0</v>
      </c>
      <c r="AA103" s="583">
        <v>0</v>
      </c>
      <c r="AB103" s="583">
        <v>0</v>
      </c>
      <c r="AC103" s="583">
        <v>0</v>
      </c>
      <c r="AD103" s="583">
        <v>0</v>
      </c>
      <c r="AE103" s="583">
        <v>0</v>
      </c>
      <c r="AF103" s="583">
        <v>0</v>
      </c>
      <c r="AG103" s="583">
        <v>0</v>
      </c>
      <c r="AH103" s="583">
        <v>0</v>
      </c>
      <c r="AI103" s="583">
        <f>SUMIFS('[12]ИП + источники'!AJ$17:AJ$89,'[12]ИП + источники'!$A$17:$A$89,$A103,'[12]ИП + источники'!$M$17:$M$89,"Амортизационные отчисления")+SUMIFS('[12]ИП + источники'!AJ$17:AJ$89,'[12]ИП + источники'!$A$17:$A$89,$A103,'[12]ИП + источники'!$M$17:$M$89,"погашение займов и кредитов из амортизации")</f>
        <v>0</v>
      </c>
      <c r="AJ103" s="583">
        <f>SUMIFS('[12]ИП + источники'!AK$17:AK$89,'[12]ИП + источники'!$A$17:$A$89,$A103,'[12]ИП + источники'!$M$17:$M$89,"Амортизационные отчисления")+SUMIFS('[12]ИП + источники'!AK$17:AK$89,'[12]ИП + источники'!$A$17:$A$89,$A103,'[12]ИП + источники'!$M$17:$M$89,"погашение займов и кредитов из амортизации")</f>
        <v>0</v>
      </c>
      <c r="AK103" s="583">
        <f>SUMIFS('[12]ИП + источники'!AL$17:AL$89,'[12]ИП + источники'!$A$17:$A$89,$A103,'[12]ИП + источники'!$M$17:$M$89,"Амортизационные отчисления")+SUMIFS('[12]ИП + источники'!AL$17:AL$89,'[12]ИП + источники'!$A$17:$A$89,$A103,'[12]ИП + источники'!$M$17:$M$89,"погашение займов и кредитов из амортизации")</f>
        <v>0</v>
      </c>
      <c r="AL103" s="583">
        <f>SUMIFS('[12]ИП + источники'!AM$17:AM$89,'[12]ИП + источники'!$A$17:$A$89,$A103,'[12]ИП + источники'!$M$17:$M$89,"Амортизационные отчисления")+SUMIFS('[12]ИП + источники'!AM$17:AM$89,'[12]ИП + источники'!$A$17:$A$89,$A103,'[12]ИП + источники'!$M$17:$M$89,"погашение займов и кредитов из амортизации")</f>
        <v>0</v>
      </c>
      <c r="AM103" s="583">
        <f>SUMIFS('[12]ИП + источники'!AN$17:AN$89,'[12]ИП + источники'!$A$17:$A$89,$A103,'[12]ИП + источники'!$M$17:$M$89,"Амортизационные отчисления")+SUMIFS('[12]ИП + источники'!AN$17:AN$89,'[12]ИП + источники'!$A$17:$A$89,$A103,'[12]ИП + источники'!$M$17:$M$89,"погашение займов и кредитов из амортизации")</f>
        <v>0</v>
      </c>
      <c r="AN103" s="573">
        <f t="shared" si="15"/>
        <v>0</v>
      </c>
      <c r="AO103" s="573">
        <f t="shared" si="18"/>
        <v>0</v>
      </c>
      <c r="AP103" s="573">
        <f t="shared" si="18"/>
        <v>0</v>
      </c>
      <c r="AQ103" s="573">
        <f t="shared" si="18"/>
        <v>0</v>
      </c>
      <c r="AR103" s="573">
        <f t="shared" si="18"/>
        <v>0</v>
      </c>
      <c r="AS103" s="573">
        <f t="shared" si="18"/>
        <v>0</v>
      </c>
      <c r="AT103" s="573">
        <f t="shared" si="18"/>
        <v>0</v>
      </c>
      <c r="AU103" s="573">
        <f t="shared" si="18"/>
        <v>0</v>
      </c>
      <c r="AV103" s="573">
        <f t="shared" si="18"/>
        <v>0</v>
      </c>
      <c r="AW103" s="573">
        <f t="shared" si="18"/>
        <v>0</v>
      </c>
      <c r="AX103" s="565"/>
      <c r="AY103" s="565"/>
      <c r="AZ103" s="565"/>
    </row>
    <row r="104" spans="1:52" s="590" customFormat="1" ht="11.25" hidden="1" outlineLevel="1" x14ac:dyDescent="0.2">
      <c r="A104" s="557" t="str">
        <f t="shared" si="13"/>
        <v>1</v>
      </c>
      <c r="B104" s="537" t="s">
        <v>194</v>
      </c>
      <c r="C104" s="537"/>
      <c r="D104" s="537" t="s">
        <v>840</v>
      </c>
      <c r="L104" s="591" t="s">
        <v>456</v>
      </c>
      <c r="M104" s="608" t="s">
        <v>194</v>
      </c>
      <c r="N104" s="562" t="s">
        <v>106</v>
      </c>
      <c r="O104" s="594">
        <v>0</v>
      </c>
      <c r="P104" s="594">
        <v>0</v>
      </c>
      <c r="Q104" s="594">
        <v>0</v>
      </c>
      <c r="R104" s="594">
        <v>0</v>
      </c>
      <c r="S104" s="594">
        <v>0</v>
      </c>
      <c r="T104" s="594">
        <v>0</v>
      </c>
      <c r="U104" s="594">
        <v>0</v>
      </c>
      <c r="V104" s="594">
        <v>0</v>
      </c>
      <c r="W104" s="594">
        <v>0</v>
      </c>
      <c r="X104" s="594">
        <v>0</v>
      </c>
      <c r="Y104" s="594">
        <v>0</v>
      </c>
      <c r="Z104" s="594">
        <v>0</v>
      </c>
      <c r="AA104" s="594">
        <v>0</v>
      </c>
      <c r="AB104" s="594">
        <v>0</v>
      </c>
      <c r="AC104" s="594">
        <v>0</v>
      </c>
      <c r="AD104" s="594">
        <v>0</v>
      </c>
      <c r="AE104" s="594">
        <v>0</v>
      </c>
      <c r="AF104" s="594">
        <v>0</v>
      </c>
      <c r="AG104" s="594">
        <v>0</v>
      </c>
      <c r="AH104" s="594">
        <v>0</v>
      </c>
      <c r="AI104" s="594">
        <f t="shared" ref="AI104:AM104" si="19">AI105+AI106+AI107+AI108</f>
        <v>0</v>
      </c>
      <c r="AJ104" s="594">
        <f t="shared" si="19"/>
        <v>0</v>
      </c>
      <c r="AK104" s="594">
        <f t="shared" si="19"/>
        <v>0</v>
      </c>
      <c r="AL104" s="594">
        <f t="shared" si="19"/>
        <v>0</v>
      </c>
      <c r="AM104" s="594">
        <f t="shared" si="19"/>
        <v>0</v>
      </c>
      <c r="AN104" s="563">
        <f t="shared" si="15"/>
        <v>0</v>
      </c>
      <c r="AO104" s="563">
        <f t="shared" si="18"/>
        <v>0</v>
      </c>
      <c r="AP104" s="563">
        <f t="shared" si="18"/>
        <v>0</v>
      </c>
      <c r="AQ104" s="563">
        <f t="shared" si="18"/>
        <v>0</v>
      </c>
      <c r="AR104" s="563">
        <f t="shared" si="18"/>
        <v>0</v>
      </c>
      <c r="AS104" s="563">
        <f t="shared" si="18"/>
        <v>0</v>
      </c>
      <c r="AT104" s="563">
        <f t="shared" si="18"/>
        <v>0</v>
      </c>
      <c r="AU104" s="563">
        <f t="shared" si="18"/>
        <v>0</v>
      </c>
      <c r="AV104" s="563">
        <f t="shared" si="18"/>
        <v>0</v>
      </c>
      <c r="AW104" s="563">
        <f t="shared" si="18"/>
        <v>0</v>
      </c>
      <c r="AX104" s="565"/>
      <c r="AY104" s="565"/>
      <c r="AZ104" s="565"/>
    </row>
    <row r="105" spans="1:52" ht="11.25" hidden="1" outlineLevel="1" x14ac:dyDescent="0.2">
      <c r="A105" s="557" t="str">
        <f t="shared" si="13"/>
        <v>1</v>
      </c>
      <c r="D105" s="537" t="s">
        <v>841</v>
      </c>
      <c r="L105" s="568" t="s">
        <v>195</v>
      </c>
      <c r="M105" s="569" t="s">
        <v>842</v>
      </c>
      <c r="N105" s="570" t="s">
        <v>106</v>
      </c>
      <c r="O105" s="609">
        <v>0</v>
      </c>
      <c r="P105" s="609">
        <v>0</v>
      </c>
      <c r="Q105" s="609">
        <v>0</v>
      </c>
      <c r="R105" s="573">
        <v>0</v>
      </c>
      <c r="S105" s="609">
        <v>0</v>
      </c>
      <c r="T105" s="609">
        <v>0</v>
      </c>
      <c r="U105" s="609">
        <v>0</v>
      </c>
      <c r="V105" s="609">
        <v>0</v>
      </c>
      <c r="W105" s="609">
        <v>0</v>
      </c>
      <c r="X105" s="609">
        <v>0</v>
      </c>
      <c r="Y105" s="609">
        <v>0</v>
      </c>
      <c r="Z105" s="609">
        <v>0</v>
      </c>
      <c r="AA105" s="609">
        <v>0</v>
      </c>
      <c r="AB105" s="609">
        <v>0</v>
      </c>
      <c r="AC105" s="609">
        <v>0</v>
      </c>
      <c r="AD105" s="609">
        <v>0</v>
      </c>
      <c r="AE105" s="609">
        <v>0</v>
      </c>
      <c r="AF105" s="609">
        <v>0</v>
      </c>
      <c r="AG105" s="609">
        <v>0</v>
      </c>
      <c r="AH105" s="609">
        <v>0</v>
      </c>
      <c r="AI105" s="609">
        <f>SUMIFS('[12]ИП + источники'!AJ$15:AJ$89,'[12]ИП + источники'!$A$15:$A$89,$A105,'[12]ИП + источники'!$M$15:$M$89,"погашение займов и кредитов из нормативной прибыли")</f>
        <v>0</v>
      </c>
      <c r="AJ105" s="609">
        <f>SUMIFS('[12]ИП + источники'!AK$15:AK$89,'[12]ИП + источники'!$A$15:$A$89,$A105,'[12]ИП + источники'!$M$15:$M$89,"погашение займов и кредитов из нормативной прибыли")</f>
        <v>0</v>
      </c>
      <c r="AK105" s="609">
        <f>SUMIFS('[12]ИП + источники'!AL$15:AL$89,'[12]ИП + источники'!$A$15:$A$89,$A105,'[12]ИП + источники'!$M$15:$M$89,"погашение займов и кредитов из нормативной прибыли")</f>
        <v>0</v>
      </c>
      <c r="AL105" s="609">
        <f>SUMIFS('[12]ИП + источники'!AM$15:AM$89,'[12]ИП + источники'!$A$15:$A$89,$A105,'[12]ИП + источники'!$M$15:$M$89,"погашение займов и кредитов из нормативной прибыли")</f>
        <v>0</v>
      </c>
      <c r="AM105" s="609">
        <f>SUMIFS('[12]ИП + источники'!AN$15:AN$89,'[12]ИП + источники'!$A$15:$A$89,$A105,'[12]ИП + источники'!$M$15:$M$89,"погашение займов и кредитов из нормативной прибыли")</f>
        <v>0</v>
      </c>
      <c r="AN105" s="573">
        <f t="shared" si="15"/>
        <v>0</v>
      </c>
      <c r="AO105" s="573">
        <f t="shared" si="18"/>
        <v>0</v>
      </c>
      <c r="AP105" s="573">
        <f t="shared" si="18"/>
        <v>0</v>
      </c>
      <c r="AQ105" s="573">
        <f t="shared" si="18"/>
        <v>0</v>
      </c>
      <c r="AR105" s="573">
        <f t="shared" si="18"/>
        <v>0</v>
      </c>
      <c r="AS105" s="573">
        <f t="shared" si="18"/>
        <v>0</v>
      </c>
      <c r="AT105" s="573">
        <f t="shared" si="18"/>
        <v>0</v>
      </c>
      <c r="AU105" s="573">
        <f t="shared" si="18"/>
        <v>0</v>
      </c>
      <c r="AV105" s="573">
        <f t="shared" si="18"/>
        <v>0</v>
      </c>
      <c r="AW105" s="573">
        <f t="shared" si="18"/>
        <v>0</v>
      </c>
      <c r="AX105" s="565"/>
      <c r="AY105" s="565"/>
      <c r="AZ105" s="565"/>
    </row>
    <row r="106" spans="1:52" ht="11.25" hidden="1" outlineLevel="1" x14ac:dyDescent="0.2">
      <c r="A106" s="557" t="str">
        <f t="shared" si="13"/>
        <v>1</v>
      </c>
      <c r="D106" s="537" t="s">
        <v>843</v>
      </c>
      <c r="L106" s="568" t="s">
        <v>197</v>
      </c>
      <c r="M106" s="569" t="s">
        <v>844</v>
      </c>
      <c r="N106" s="570" t="s">
        <v>106</v>
      </c>
      <c r="O106" s="609">
        <v>0</v>
      </c>
      <c r="P106" s="609">
        <v>0</v>
      </c>
      <c r="Q106" s="609">
        <v>0</v>
      </c>
      <c r="R106" s="573">
        <v>0</v>
      </c>
      <c r="S106" s="609">
        <v>0</v>
      </c>
      <c r="T106" s="609">
        <v>0</v>
      </c>
      <c r="U106" s="609">
        <v>0</v>
      </c>
      <c r="V106" s="609">
        <v>0</v>
      </c>
      <c r="W106" s="609">
        <v>0</v>
      </c>
      <c r="X106" s="609">
        <v>0</v>
      </c>
      <c r="Y106" s="609">
        <v>0</v>
      </c>
      <c r="Z106" s="609">
        <v>0</v>
      </c>
      <c r="AA106" s="609">
        <v>0</v>
      </c>
      <c r="AB106" s="609">
        <v>0</v>
      </c>
      <c r="AC106" s="609">
        <v>0</v>
      </c>
      <c r="AD106" s="609">
        <v>0</v>
      </c>
      <c r="AE106" s="609">
        <v>0</v>
      </c>
      <c r="AF106" s="609">
        <v>0</v>
      </c>
      <c r="AG106" s="609">
        <v>0</v>
      </c>
      <c r="AH106" s="609">
        <v>0</v>
      </c>
      <c r="AI106" s="609">
        <f>SUMIFS('[12]ИП + источники'!AJ$15:AJ$89,'[12]ИП + источники'!$A$15:$A$89,$A106,'[12]ИП + источники'!$M$15:$M$89,"уплата процентов по кредитам из нормативной прибыли")</f>
        <v>0</v>
      </c>
      <c r="AJ106" s="609">
        <f>SUMIFS('[12]ИП + источники'!AK$15:AK$89,'[12]ИП + источники'!$A$15:$A$89,$A106,'[12]ИП + источники'!$M$15:$M$89,"уплата процентов по кредитам из нормативной прибыли")</f>
        <v>0</v>
      </c>
      <c r="AK106" s="609">
        <f>SUMIFS('[12]ИП + источники'!AL$15:AL$89,'[12]ИП + источники'!$A$15:$A$89,$A106,'[12]ИП + источники'!$M$15:$M$89,"уплата процентов по кредитам из нормативной прибыли")</f>
        <v>0</v>
      </c>
      <c r="AL106" s="609">
        <f>SUMIFS('[12]ИП + источники'!AM$15:AM$89,'[12]ИП + источники'!$A$15:$A$89,$A106,'[12]ИП + источники'!$M$15:$M$89,"уплата процентов по кредитам из нормативной прибыли")</f>
        <v>0</v>
      </c>
      <c r="AM106" s="609">
        <f>SUMIFS('[12]ИП + источники'!AN$15:AN$89,'[12]ИП + источники'!$A$15:$A$89,$A106,'[12]ИП + источники'!$M$15:$M$89,"уплата процентов по кредитам из нормативной прибыли")</f>
        <v>0</v>
      </c>
      <c r="AN106" s="573">
        <f t="shared" si="15"/>
        <v>0</v>
      </c>
      <c r="AO106" s="573">
        <f t="shared" si="18"/>
        <v>0</v>
      </c>
      <c r="AP106" s="573">
        <f t="shared" si="18"/>
        <v>0</v>
      </c>
      <c r="AQ106" s="573">
        <f t="shared" si="18"/>
        <v>0</v>
      </c>
      <c r="AR106" s="573">
        <f t="shared" si="18"/>
        <v>0</v>
      </c>
      <c r="AS106" s="573">
        <f t="shared" si="18"/>
        <v>0</v>
      </c>
      <c r="AT106" s="573">
        <f t="shared" si="18"/>
        <v>0</v>
      </c>
      <c r="AU106" s="573">
        <f t="shared" si="18"/>
        <v>0</v>
      </c>
      <c r="AV106" s="573">
        <f t="shared" si="18"/>
        <v>0</v>
      </c>
      <c r="AW106" s="573">
        <f t="shared" si="18"/>
        <v>0</v>
      </c>
      <c r="AX106" s="565"/>
      <c r="AY106" s="565"/>
      <c r="AZ106" s="565"/>
    </row>
    <row r="107" spans="1:52" ht="11.25" hidden="1" outlineLevel="1" x14ac:dyDescent="0.2">
      <c r="A107" s="557" t="str">
        <f t="shared" si="13"/>
        <v>1</v>
      </c>
      <c r="D107" s="537" t="s">
        <v>845</v>
      </c>
      <c r="L107" s="568" t="s">
        <v>846</v>
      </c>
      <c r="M107" s="569" t="s">
        <v>847</v>
      </c>
      <c r="N107" s="570" t="s">
        <v>106</v>
      </c>
      <c r="O107" s="609">
        <v>0</v>
      </c>
      <c r="P107" s="609">
        <v>0</v>
      </c>
      <c r="Q107" s="609">
        <v>0</v>
      </c>
      <c r="R107" s="573">
        <v>0</v>
      </c>
      <c r="S107" s="609">
        <v>0</v>
      </c>
      <c r="T107" s="609">
        <v>0</v>
      </c>
      <c r="U107" s="609">
        <v>0</v>
      </c>
      <c r="V107" s="609">
        <v>0</v>
      </c>
      <c r="W107" s="609">
        <v>0</v>
      </c>
      <c r="X107" s="609">
        <v>0</v>
      </c>
      <c r="Y107" s="609">
        <v>0</v>
      </c>
      <c r="Z107" s="609">
        <v>0</v>
      </c>
      <c r="AA107" s="609">
        <v>0</v>
      </c>
      <c r="AB107" s="609">
        <v>0</v>
      </c>
      <c r="AC107" s="609">
        <v>0</v>
      </c>
      <c r="AD107" s="609">
        <v>0</v>
      </c>
      <c r="AE107" s="609">
        <v>0</v>
      </c>
      <c r="AF107" s="609">
        <v>0</v>
      </c>
      <c r="AG107" s="609">
        <v>0</v>
      </c>
      <c r="AH107" s="609">
        <v>0</v>
      </c>
      <c r="AI107" s="609">
        <f>SUMIFS('[12]ИП + источники'!AJ$15:AJ$89,'[12]ИП + источники'!$A$15:$A$89,$A107,'[12]ИП + источники'!$M$15:$M$89,"Прибыль на капвложения")</f>
        <v>0</v>
      </c>
      <c r="AJ107" s="609">
        <f>SUMIFS('[12]ИП + источники'!AK$15:AK$89,'[12]ИП + источники'!$A$15:$A$89,$A107,'[12]ИП + источники'!$M$15:$M$89,"Прибыль на капвложения")</f>
        <v>0</v>
      </c>
      <c r="AK107" s="609">
        <f>SUMIFS('[12]ИП + источники'!AL$15:AL$89,'[12]ИП + источники'!$A$15:$A$89,$A107,'[12]ИП + источники'!$M$15:$M$89,"Прибыль на капвложения")</f>
        <v>0</v>
      </c>
      <c r="AL107" s="609">
        <f>SUMIFS('[12]ИП + источники'!AM$15:AM$89,'[12]ИП + источники'!$A$15:$A$89,$A107,'[12]ИП + источники'!$M$15:$M$89,"Прибыль на капвложения")</f>
        <v>0</v>
      </c>
      <c r="AM107" s="609">
        <f>SUMIFS('[12]ИП + источники'!AN$15:AN$89,'[12]ИП + источники'!$A$15:$A$89,$A107,'[12]ИП + источники'!$M$15:$M$89,"Прибыль на капвложения")</f>
        <v>0</v>
      </c>
      <c r="AN107" s="573">
        <f t="shared" si="15"/>
        <v>0</v>
      </c>
      <c r="AO107" s="573">
        <f t="shared" si="18"/>
        <v>0</v>
      </c>
      <c r="AP107" s="573">
        <f t="shared" si="18"/>
        <v>0</v>
      </c>
      <c r="AQ107" s="573">
        <f t="shared" si="18"/>
        <v>0</v>
      </c>
      <c r="AR107" s="573">
        <f t="shared" si="18"/>
        <v>0</v>
      </c>
      <c r="AS107" s="573">
        <f t="shared" si="18"/>
        <v>0</v>
      </c>
      <c r="AT107" s="573">
        <f t="shared" si="18"/>
        <v>0</v>
      </c>
      <c r="AU107" s="573">
        <f t="shared" si="18"/>
        <v>0</v>
      </c>
      <c r="AV107" s="573">
        <f t="shared" si="18"/>
        <v>0</v>
      </c>
      <c r="AW107" s="573">
        <f t="shared" si="18"/>
        <v>0</v>
      </c>
      <c r="AX107" s="565"/>
      <c r="AY107" s="565"/>
      <c r="AZ107" s="565"/>
    </row>
    <row r="108" spans="1:52" ht="22.5" hidden="1" outlineLevel="1" x14ac:dyDescent="0.2">
      <c r="A108" s="557" t="str">
        <f t="shared" si="13"/>
        <v>1</v>
      </c>
      <c r="B108" s="537" t="s">
        <v>848</v>
      </c>
      <c r="D108" s="537" t="s">
        <v>849</v>
      </c>
      <c r="L108" s="568" t="s">
        <v>850</v>
      </c>
      <c r="M108" s="569" t="s">
        <v>851</v>
      </c>
      <c r="N108" s="570" t="s">
        <v>106</v>
      </c>
      <c r="O108" s="583"/>
      <c r="P108" s="583"/>
      <c r="Q108" s="583"/>
      <c r="R108" s="573">
        <v>0</v>
      </c>
      <c r="S108" s="583"/>
      <c r="T108" s="583"/>
      <c r="U108" s="583"/>
      <c r="V108" s="583"/>
      <c r="W108" s="583"/>
      <c r="X108" s="583"/>
      <c r="Y108" s="583"/>
      <c r="Z108" s="583"/>
      <c r="AA108" s="583"/>
      <c r="AB108" s="583"/>
      <c r="AC108" s="583"/>
      <c r="AD108" s="583"/>
      <c r="AE108" s="583"/>
      <c r="AF108" s="583"/>
      <c r="AG108" s="583"/>
      <c r="AH108" s="583"/>
      <c r="AI108" s="583"/>
      <c r="AJ108" s="583"/>
      <c r="AK108" s="583"/>
      <c r="AL108" s="583"/>
      <c r="AM108" s="583"/>
      <c r="AN108" s="573">
        <f t="shared" si="15"/>
        <v>0</v>
      </c>
      <c r="AO108" s="573">
        <f t="shared" si="18"/>
        <v>0</v>
      </c>
      <c r="AP108" s="573">
        <f t="shared" si="18"/>
        <v>0</v>
      </c>
      <c r="AQ108" s="573">
        <f t="shared" si="18"/>
        <v>0</v>
      </c>
      <c r="AR108" s="573">
        <f t="shared" si="18"/>
        <v>0</v>
      </c>
      <c r="AS108" s="573">
        <f t="shared" si="18"/>
        <v>0</v>
      </c>
      <c r="AT108" s="573">
        <f t="shared" si="18"/>
        <v>0</v>
      </c>
      <c r="AU108" s="573">
        <f t="shared" si="18"/>
        <v>0</v>
      </c>
      <c r="AV108" s="573">
        <f t="shared" si="18"/>
        <v>0</v>
      </c>
      <c r="AW108" s="573">
        <f t="shared" si="18"/>
        <v>0</v>
      </c>
      <c r="AX108" s="565"/>
      <c r="AY108" s="565"/>
      <c r="AZ108" s="565"/>
    </row>
    <row r="109" spans="1:52" ht="11.25" hidden="1" outlineLevel="1" x14ac:dyDescent="0.2">
      <c r="A109" s="557" t="str">
        <f t="shared" si="13"/>
        <v>1</v>
      </c>
      <c r="B109" s="537" t="s">
        <v>200</v>
      </c>
      <c r="D109" s="537" t="s">
        <v>852</v>
      </c>
      <c r="L109" s="568" t="s">
        <v>199</v>
      </c>
      <c r="M109" s="610" t="s">
        <v>200</v>
      </c>
      <c r="N109" s="570" t="s">
        <v>106</v>
      </c>
      <c r="O109" s="583"/>
      <c r="P109" s="583"/>
      <c r="Q109" s="583"/>
      <c r="R109" s="573">
        <v>0</v>
      </c>
      <c r="S109" s="583"/>
      <c r="T109" s="583"/>
      <c r="U109" s="583"/>
      <c r="V109" s="583"/>
      <c r="W109" s="583"/>
      <c r="X109" s="583"/>
      <c r="Y109" s="583"/>
      <c r="Z109" s="583"/>
      <c r="AA109" s="583"/>
      <c r="AB109" s="583"/>
      <c r="AC109" s="583"/>
      <c r="AD109" s="583"/>
      <c r="AE109" s="583"/>
      <c r="AF109" s="583"/>
      <c r="AG109" s="583"/>
      <c r="AH109" s="583"/>
      <c r="AI109" s="583"/>
      <c r="AJ109" s="583"/>
      <c r="AK109" s="583"/>
      <c r="AL109" s="583"/>
      <c r="AM109" s="583"/>
      <c r="AN109" s="573">
        <f t="shared" si="15"/>
        <v>0</v>
      </c>
      <c r="AO109" s="573">
        <f t="shared" si="18"/>
        <v>0</v>
      </c>
      <c r="AP109" s="573">
        <f t="shared" si="18"/>
        <v>0</v>
      </c>
      <c r="AQ109" s="573">
        <f t="shared" si="18"/>
        <v>0</v>
      </c>
      <c r="AR109" s="573">
        <f t="shared" si="18"/>
        <v>0</v>
      </c>
      <c r="AS109" s="573">
        <f t="shared" si="18"/>
        <v>0</v>
      </c>
      <c r="AT109" s="573">
        <f t="shared" si="18"/>
        <v>0</v>
      </c>
      <c r="AU109" s="573">
        <f t="shared" si="18"/>
        <v>0</v>
      </c>
      <c r="AV109" s="573">
        <f t="shared" si="18"/>
        <v>0</v>
      </c>
      <c r="AW109" s="573">
        <f t="shared" si="18"/>
        <v>0</v>
      </c>
      <c r="AX109" s="565"/>
      <c r="AY109" s="565"/>
      <c r="AZ109" s="565"/>
    </row>
    <row r="110" spans="1:52" s="590" customFormat="1" ht="11.25" hidden="1" outlineLevel="1" x14ac:dyDescent="0.2">
      <c r="A110" s="557" t="str">
        <f t="shared" si="13"/>
        <v>1</v>
      </c>
      <c r="B110" s="537" t="s">
        <v>853</v>
      </c>
      <c r="C110" s="537"/>
      <c r="D110" s="611" t="s">
        <v>854</v>
      </c>
      <c r="L110" s="591" t="s">
        <v>201</v>
      </c>
      <c r="M110" s="612" t="s">
        <v>855</v>
      </c>
      <c r="N110" s="593" t="s">
        <v>106</v>
      </c>
      <c r="O110" s="564"/>
      <c r="P110" s="564"/>
      <c r="Q110" s="564"/>
      <c r="R110" s="563">
        <v>0</v>
      </c>
      <c r="S110" s="564">
        <v>-165.34</v>
      </c>
      <c r="T110" s="583">
        <v>0</v>
      </c>
      <c r="U110" s="564"/>
      <c r="V110" s="564"/>
      <c r="W110" s="564"/>
      <c r="X110" s="564"/>
      <c r="Y110" s="564"/>
      <c r="Z110" s="564"/>
      <c r="AA110" s="564"/>
      <c r="AB110" s="564"/>
      <c r="AC110" s="564"/>
      <c r="AD110" s="583">
        <v>-259.31</v>
      </c>
      <c r="AE110" s="564">
        <v>-191.51</v>
      </c>
      <c r="AF110" s="564">
        <v>-221.85</v>
      </c>
      <c r="AG110" s="564">
        <v>-266.85000000000002</v>
      </c>
      <c r="AH110" s="564">
        <v>-146.51</v>
      </c>
      <c r="AI110" s="564"/>
      <c r="AJ110" s="564"/>
      <c r="AK110" s="564"/>
      <c r="AL110" s="564"/>
      <c r="AM110" s="564"/>
      <c r="AN110" s="563">
        <f t="shared" si="15"/>
        <v>56.834401838635543</v>
      </c>
      <c r="AO110" s="563">
        <f t="shared" si="18"/>
        <v>-26.146311364775755</v>
      </c>
      <c r="AP110" s="563">
        <f t="shared" si="18"/>
        <v>15.842514751187931</v>
      </c>
      <c r="AQ110" s="563">
        <f t="shared" si="18"/>
        <v>20.283975659229224</v>
      </c>
      <c r="AR110" s="563">
        <f t="shared" si="18"/>
        <v>-45.096496158890773</v>
      </c>
      <c r="AS110" s="563">
        <f t="shared" si="18"/>
        <v>-100</v>
      </c>
      <c r="AT110" s="563">
        <f t="shared" si="18"/>
        <v>0</v>
      </c>
      <c r="AU110" s="563">
        <f t="shared" si="18"/>
        <v>0</v>
      </c>
      <c r="AV110" s="563">
        <f t="shared" si="18"/>
        <v>0</v>
      </c>
      <c r="AW110" s="563">
        <f t="shared" si="18"/>
        <v>0</v>
      </c>
      <c r="AX110" s="577"/>
      <c r="AY110" s="577"/>
      <c r="AZ110" s="577"/>
    </row>
    <row r="111" spans="1:52" ht="11.25" hidden="1" outlineLevel="1" x14ac:dyDescent="0.2">
      <c r="A111" s="557" t="str">
        <f t="shared" si="13"/>
        <v>1</v>
      </c>
      <c r="L111" s="568"/>
      <c r="M111" s="610" t="s">
        <v>856</v>
      </c>
      <c r="N111" s="570"/>
      <c r="O111" s="574"/>
      <c r="P111" s="574"/>
      <c r="Q111" s="574"/>
      <c r="R111" s="574"/>
      <c r="S111" s="574"/>
      <c r="T111" s="574"/>
      <c r="U111" s="574"/>
      <c r="V111" s="574"/>
      <c r="W111" s="574"/>
      <c r="X111" s="574"/>
      <c r="Y111" s="574"/>
      <c r="Z111" s="574"/>
      <c r="AA111" s="574"/>
      <c r="AB111" s="574"/>
      <c r="AC111" s="574"/>
      <c r="AD111" s="574"/>
      <c r="AE111" s="574"/>
      <c r="AF111" s="574"/>
      <c r="AG111" s="574"/>
      <c r="AH111" s="574"/>
      <c r="AI111" s="574"/>
      <c r="AJ111" s="574"/>
      <c r="AK111" s="574"/>
      <c r="AL111" s="574"/>
      <c r="AM111" s="574"/>
      <c r="AN111" s="574"/>
      <c r="AO111" s="574"/>
      <c r="AP111" s="574"/>
      <c r="AQ111" s="574"/>
      <c r="AR111" s="574"/>
      <c r="AS111" s="574"/>
      <c r="AT111" s="574"/>
      <c r="AU111" s="574"/>
      <c r="AV111" s="574"/>
      <c r="AW111" s="574"/>
      <c r="AX111" s="597"/>
      <c r="AY111" s="597"/>
      <c r="AZ111" s="597"/>
    </row>
    <row r="112" spans="1:52" ht="22.5" hidden="1" outlineLevel="1" x14ac:dyDescent="0.2">
      <c r="A112" s="557" t="str">
        <f t="shared" si="13"/>
        <v>1</v>
      </c>
      <c r="B112" s="537" t="s">
        <v>833</v>
      </c>
      <c r="D112" s="537" t="s">
        <v>857</v>
      </c>
      <c r="L112" s="568" t="s">
        <v>203</v>
      </c>
      <c r="M112" s="569" t="s">
        <v>858</v>
      </c>
      <c r="N112" s="570" t="s">
        <v>106</v>
      </c>
      <c r="O112" s="583"/>
      <c r="P112" s="583"/>
      <c r="Q112" s="583"/>
      <c r="R112" s="573">
        <v>0</v>
      </c>
      <c r="S112" s="583"/>
      <c r="T112" s="583">
        <v>0</v>
      </c>
      <c r="U112" s="583"/>
      <c r="V112" s="583"/>
      <c r="W112" s="583"/>
      <c r="X112" s="583"/>
      <c r="Y112" s="583"/>
      <c r="Z112" s="583"/>
      <c r="AA112" s="583"/>
      <c r="AB112" s="583"/>
      <c r="AC112" s="583"/>
      <c r="AD112" s="583">
        <v>0</v>
      </c>
      <c r="AE112" s="583"/>
      <c r="AF112" s="583"/>
      <c r="AG112" s="583"/>
      <c r="AH112" s="583"/>
      <c r="AI112" s="583"/>
      <c r="AJ112" s="583"/>
      <c r="AK112" s="583"/>
      <c r="AL112" s="583"/>
      <c r="AM112" s="583"/>
      <c r="AN112" s="574"/>
      <c r="AO112" s="574"/>
      <c r="AP112" s="574"/>
      <c r="AQ112" s="574"/>
      <c r="AR112" s="574"/>
      <c r="AS112" s="574"/>
      <c r="AT112" s="574"/>
      <c r="AU112" s="574"/>
      <c r="AV112" s="574"/>
      <c r="AW112" s="574"/>
      <c r="AX112" s="565"/>
      <c r="AY112" s="565"/>
      <c r="AZ112" s="565"/>
    </row>
    <row r="113" spans="1:52" ht="101.25" hidden="1" outlineLevel="1" x14ac:dyDescent="0.2">
      <c r="A113" s="557" t="str">
        <f t="shared" si="13"/>
        <v>1</v>
      </c>
      <c r="B113" s="537" t="s">
        <v>836</v>
      </c>
      <c r="D113" s="537" t="s">
        <v>859</v>
      </c>
      <c r="L113" s="568" t="s">
        <v>205</v>
      </c>
      <c r="M113" s="569" t="s">
        <v>860</v>
      </c>
      <c r="N113" s="570" t="s">
        <v>106</v>
      </c>
      <c r="O113" s="583"/>
      <c r="P113" s="583"/>
      <c r="Q113" s="583"/>
      <c r="R113" s="573">
        <v>0</v>
      </c>
      <c r="S113" s="583"/>
      <c r="T113" s="583">
        <v>0</v>
      </c>
      <c r="U113" s="583"/>
      <c r="V113" s="583"/>
      <c r="W113" s="583"/>
      <c r="X113" s="583"/>
      <c r="Y113" s="583"/>
      <c r="Z113" s="583"/>
      <c r="AA113" s="583"/>
      <c r="AB113" s="583"/>
      <c r="AC113" s="583"/>
      <c r="AD113" s="583">
        <v>-89.31</v>
      </c>
      <c r="AE113" s="583"/>
      <c r="AF113" s="583"/>
      <c r="AG113" s="583"/>
      <c r="AH113" s="583"/>
      <c r="AI113" s="583"/>
      <c r="AJ113" s="583"/>
      <c r="AK113" s="583"/>
      <c r="AL113" s="583"/>
      <c r="AM113" s="583"/>
      <c r="AN113" s="574"/>
      <c r="AO113" s="574"/>
      <c r="AP113" s="574"/>
      <c r="AQ113" s="574"/>
      <c r="AR113" s="574"/>
      <c r="AS113" s="574"/>
      <c r="AT113" s="574"/>
      <c r="AU113" s="574"/>
      <c r="AV113" s="574"/>
      <c r="AW113" s="574"/>
      <c r="AX113" s="565"/>
      <c r="AY113" s="565"/>
      <c r="AZ113" s="565"/>
    </row>
    <row r="114" spans="1:52" ht="45" hidden="1" outlineLevel="1" x14ac:dyDescent="0.2">
      <c r="A114" s="557" t="str">
        <f t="shared" si="13"/>
        <v>1</v>
      </c>
      <c r="D114" s="537" t="s">
        <v>861</v>
      </c>
      <c r="L114" s="568" t="s">
        <v>207</v>
      </c>
      <c r="M114" s="569" t="s">
        <v>862</v>
      </c>
      <c r="N114" s="570" t="s">
        <v>106</v>
      </c>
      <c r="O114" s="583"/>
      <c r="P114" s="583"/>
      <c r="Q114" s="583"/>
      <c r="R114" s="573">
        <v>0</v>
      </c>
      <c r="S114" s="583"/>
      <c r="T114" s="583">
        <v>0</v>
      </c>
      <c r="U114" s="583"/>
      <c r="V114" s="583"/>
      <c r="W114" s="583"/>
      <c r="X114" s="583"/>
      <c r="Y114" s="583"/>
      <c r="Z114" s="583"/>
      <c r="AA114" s="583"/>
      <c r="AB114" s="583"/>
      <c r="AC114" s="583"/>
      <c r="AD114" s="583">
        <v>-170</v>
      </c>
      <c r="AE114" s="583">
        <v>-191.51</v>
      </c>
      <c r="AF114" s="583">
        <v>-221.85</v>
      </c>
      <c r="AG114" s="583">
        <v>-266.85000000000002</v>
      </c>
      <c r="AH114" s="583">
        <v>-146.51</v>
      </c>
      <c r="AI114" s="583"/>
      <c r="AJ114" s="583"/>
      <c r="AK114" s="583"/>
      <c r="AL114" s="583"/>
      <c r="AM114" s="583"/>
      <c r="AN114" s="574"/>
      <c r="AO114" s="574"/>
      <c r="AP114" s="574"/>
      <c r="AQ114" s="574"/>
      <c r="AR114" s="574"/>
      <c r="AS114" s="574"/>
      <c r="AT114" s="574"/>
      <c r="AU114" s="574"/>
      <c r="AV114" s="574"/>
      <c r="AW114" s="574"/>
      <c r="AX114" s="565"/>
      <c r="AY114" s="565"/>
      <c r="AZ114" s="565"/>
    </row>
    <row r="115" spans="1:52" ht="102" hidden="1" outlineLevel="1" x14ac:dyDescent="0.25">
      <c r="A115" s="557" t="str">
        <f t="shared" si="13"/>
        <v>1</v>
      </c>
      <c r="B115" s="537" t="s">
        <v>840</v>
      </c>
      <c r="C115" s="595" t="b">
        <f>D16="Водоотведение"</f>
        <v>0</v>
      </c>
      <c r="D115" s="537" t="s">
        <v>863</v>
      </c>
      <c r="L115" s="568" t="s">
        <v>209</v>
      </c>
      <c r="M115" s="613" t="s">
        <v>864</v>
      </c>
      <c r="N115" s="582" t="s">
        <v>106</v>
      </c>
      <c r="O115" s="583"/>
      <c r="P115" s="583"/>
      <c r="Q115" s="583"/>
      <c r="R115" s="573">
        <v>0</v>
      </c>
      <c r="S115" s="583"/>
      <c r="T115" s="583">
        <v>0</v>
      </c>
      <c r="U115" s="583"/>
      <c r="V115" s="583"/>
      <c r="W115" s="583"/>
      <c r="X115" s="583"/>
      <c r="Y115" s="583"/>
      <c r="Z115" s="583"/>
      <c r="AA115" s="583"/>
      <c r="AB115" s="583"/>
      <c r="AC115" s="583"/>
      <c r="AD115" s="583">
        <v>0</v>
      </c>
      <c r="AE115" s="583"/>
      <c r="AF115" s="583"/>
      <c r="AG115" s="583"/>
      <c r="AH115" s="583"/>
      <c r="AI115" s="583"/>
      <c r="AJ115" s="583"/>
      <c r="AK115" s="583"/>
      <c r="AL115" s="583"/>
      <c r="AM115" s="583"/>
      <c r="AN115" s="574"/>
      <c r="AO115" s="574"/>
      <c r="AP115" s="574"/>
      <c r="AQ115" s="574"/>
      <c r="AR115" s="574"/>
      <c r="AS115" s="574"/>
      <c r="AT115" s="574"/>
      <c r="AU115" s="574"/>
      <c r="AV115" s="574"/>
      <c r="AW115" s="574"/>
      <c r="AX115" s="565"/>
      <c r="AY115" s="565"/>
      <c r="AZ115" s="565"/>
    </row>
    <row r="116" spans="1:52" ht="56.25" hidden="1" outlineLevel="1" x14ac:dyDescent="0.25">
      <c r="A116" s="557" t="str">
        <f t="shared" si="13"/>
        <v>1</v>
      </c>
      <c r="B116" s="537" t="s">
        <v>852</v>
      </c>
      <c r="C116" s="595" t="b">
        <f>D16="Водоотведение"</f>
        <v>0</v>
      </c>
      <c r="D116" s="537" t="s">
        <v>865</v>
      </c>
      <c r="L116" s="568" t="s">
        <v>211</v>
      </c>
      <c r="M116" s="569" t="s">
        <v>866</v>
      </c>
      <c r="N116" s="582" t="s">
        <v>106</v>
      </c>
      <c r="O116" s="583"/>
      <c r="P116" s="583"/>
      <c r="Q116" s="583"/>
      <c r="R116" s="573">
        <v>0</v>
      </c>
      <c r="S116" s="583"/>
      <c r="T116" s="583">
        <v>0</v>
      </c>
      <c r="U116" s="583"/>
      <c r="V116" s="583"/>
      <c r="W116" s="583"/>
      <c r="X116" s="583"/>
      <c r="Y116" s="583"/>
      <c r="Z116" s="583"/>
      <c r="AA116" s="583"/>
      <c r="AB116" s="583"/>
      <c r="AC116" s="583"/>
      <c r="AD116" s="583">
        <v>0</v>
      </c>
      <c r="AE116" s="583"/>
      <c r="AF116" s="583"/>
      <c r="AG116" s="583"/>
      <c r="AH116" s="583"/>
      <c r="AI116" s="583"/>
      <c r="AJ116" s="583"/>
      <c r="AK116" s="583"/>
      <c r="AL116" s="583"/>
      <c r="AM116" s="583"/>
      <c r="AN116" s="574"/>
      <c r="AO116" s="574"/>
      <c r="AP116" s="574"/>
      <c r="AQ116" s="574"/>
      <c r="AR116" s="574"/>
      <c r="AS116" s="574"/>
      <c r="AT116" s="574"/>
      <c r="AU116" s="574"/>
      <c r="AV116" s="574"/>
      <c r="AW116" s="574"/>
      <c r="AX116" s="565"/>
      <c r="AY116" s="565"/>
      <c r="AZ116" s="565"/>
    </row>
    <row r="117" spans="1:52" ht="11.25" hidden="1" outlineLevel="1" x14ac:dyDescent="0.2">
      <c r="A117" s="557" t="str">
        <f t="shared" si="13"/>
        <v>1</v>
      </c>
      <c r="B117" s="537" t="s">
        <v>857</v>
      </c>
      <c r="D117" s="537" t="s">
        <v>867</v>
      </c>
      <c r="L117" s="568" t="s">
        <v>213</v>
      </c>
      <c r="M117" s="569" t="s">
        <v>868</v>
      </c>
      <c r="N117" s="570" t="s">
        <v>106</v>
      </c>
      <c r="O117" s="583"/>
      <c r="P117" s="583"/>
      <c r="Q117" s="583"/>
      <c r="R117" s="573">
        <v>0</v>
      </c>
      <c r="S117" s="583"/>
      <c r="T117" s="583">
        <v>0</v>
      </c>
      <c r="U117" s="583"/>
      <c r="V117" s="583"/>
      <c r="W117" s="583"/>
      <c r="X117" s="583"/>
      <c r="Y117" s="583"/>
      <c r="Z117" s="583"/>
      <c r="AA117" s="583"/>
      <c r="AB117" s="583"/>
      <c r="AC117" s="583"/>
      <c r="AD117" s="583">
        <v>0</v>
      </c>
      <c r="AE117" s="583"/>
      <c r="AF117" s="583"/>
      <c r="AG117" s="583"/>
      <c r="AH117" s="583"/>
      <c r="AI117" s="583"/>
      <c r="AJ117" s="583"/>
      <c r="AK117" s="583"/>
      <c r="AL117" s="583"/>
      <c r="AM117" s="583"/>
      <c r="AN117" s="574"/>
      <c r="AO117" s="574"/>
      <c r="AP117" s="574"/>
      <c r="AQ117" s="574"/>
      <c r="AR117" s="574"/>
      <c r="AS117" s="574"/>
      <c r="AT117" s="574"/>
      <c r="AU117" s="574"/>
      <c r="AV117" s="574"/>
      <c r="AW117" s="574"/>
      <c r="AX117" s="565"/>
      <c r="AY117" s="565"/>
      <c r="AZ117" s="565"/>
    </row>
    <row r="118" spans="1:52" ht="11.25" hidden="1" outlineLevel="1" x14ac:dyDescent="0.2">
      <c r="A118" s="557" t="str">
        <f t="shared" si="13"/>
        <v>1</v>
      </c>
      <c r="B118" s="537" t="s">
        <v>859</v>
      </c>
      <c r="D118" s="537" t="s">
        <v>869</v>
      </c>
      <c r="L118" s="568" t="s">
        <v>870</v>
      </c>
      <c r="M118" s="569" t="s">
        <v>871</v>
      </c>
      <c r="N118" s="570" t="s">
        <v>106</v>
      </c>
      <c r="O118" s="583">
        <v>0</v>
      </c>
      <c r="P118" s="583">
        <v>0</v>
      </c>
      <c r="Q118" s="583">
        <v>0</v>
      </c>
      <c r="R118" s="573">
        <v>0</v>
      </c>
      <c r="S118" s="583">
        <v>0</v>
      </c>
      <c r="T118" s="583">
        <v>0</v>
      </c>
      <c r="U118" s="583">
        <v>0</v>
      </c>
      <c r="V118" s="583">
        <v>0</v>
      </c>
      <c r="W118" s="583">
        <v>0</v>
      </c>
      <c r="X118" s="583">
        <v>0</v>
      </c>
      <c r="Y118" s="583">
        <v>0</v>
      </c>
      <c r="Z118" s="583">
        <v>0</v>
      </c>
      <c r="AA118" s="583">
        <v>0</v>
      </c>
      <c r="AB118" s="583">
        <v>0</v>
      </c>
      <c r="AC118" s="583">
        <v>0</v>
      </c>
      <c r="AD118" s="583">
        <v>0</v>
      </c>
      <c r="AE118" s="583">
        <v>0</v>
      </c>
      <c r="AF118" s="583">
        <v>0</v>
      </c>
      <c r="AG118" s="583">
        <v>0</v>
      </c>
      <c r="AH118" s="583">
        <v>0</v>
      </c>
      <c r="AI118" s="583">
        <f t="shared" ref="AI118:AM118" si="20">AI119+AI120</f>
        <v>0</v>
      </c>
      <c r="AJ118" s="583">
        <f t="shared" si="20"/>
        <v>0</v>
      </c>
      <c r="AK118" s="583">
        <f t="shared" si="20"/>
        <v>0</v>
      </c>
      <c r="AL118" s="583">
        <f t="shared" si="20"/>
        <v>0</v>
      </c>
      <c r="AM118" s="583">
        <f t="shared" si="20"/>
        <v>0</v>
      </c>
      <c r="AN118" s="573">
        <f>IF(S118=0,0,(AD118-S118)/S118*100)</f>
        <v>0</v>
      </c>
      <c r="AO118" s="573">
        <f t="shared" ref="AO118:AW118" si="21">IF(AD118=0,0,(AE118-AD118)/AD118*100)</f>
        <v>0</v>
      </c>
      <c r="AP118" s="573">
        <f t="shared" si="21"/>
        <v>0</v>
      </c>
      <c r="AQ118" s="573">
        <f t="shared" si="21"/>
        <v>0</v>
      </c>
      <c r="AR118" s="573">
        <f t="shared" si="21"/>
        <v>0</v>
      </c>
      <c r="AS118" s="573">
        <f t="shared" si="21"/>
        <v>0</v>
      </c>
      <c r="AT118" s="573">
        <f t="shared" si="21"/>
        <v>0</v>
      </c>
      <c r="AU118" s="573">
        <f t="shared" si="21"/>
        <v>0</v>
      </c>
      <c r="AV118" s="573">
        <f t="shared" si="21"/>
        <v>0</v>
      </c>
      <c r="AW118" s="573">
        <f t="shared" si="21"/>
        <v>0</v>
      </c>
      <c r="AX118" s="565"/>
      <c r="AY118" s="565"/>
      <c r="AZ118" s="565"/>
    </row>
    <row r="119" spans="1:52" ht="25.5" hidden="1" outlineLevel="1" x14ac:dyDescent="0.2">
      <c r="A119" s="557" t="str">
        <f t="shared" si="13"/>
        <v>1</v>
      </c>
      <c r="B119" s="537" t="s">
        <v>872</v>
      </c>
      <c r="D119" s="537" t="s">
        <v>873</v>
      </c>
      <c r="L119" s="568" t="s">
        <v>874</v>
      </c>
      <c r="M119" s="614" t="s">
        <v>875</v>
      </c>
      <c r="N119" s="570" t="s">
        <v>106</v>
      </c>
      <c r="O119" s="583"/>
      <c r="P119" s="583"/>
      <c r="Q119" s="583"/>
      <c r="R119" s="573">
        <v>0</v>
      </c>
      <c r="S119" s="583"/>
      <c r="T119" s="583">
        <v>0</v>
      </c>
      <c r="U119" s="583"/>
      <c r="V119" s="583"/>
      <c r="W119" s="583"/>
      <c r="X119" s="583"/>
      <c r="Y119" s="583"/>
      <c r="Z119" s="583"/>
      <c r="AA119" s="583"/>
      <c r="AB119" s="583"/>
      <c r="AC119" s="583"/>
      <c r="AD119" s="583">
        <v>0</v>
      </c>
      <c r="AE119" s="583"/>
      <c r="AF119" s="583"/>
      <c r="AG119" s="583"/>
      <c r="AH119" s="583"/>
      <c r="AI119" s="583"/>
      <c r="AJ119" s="583"/>
      <c r="AK119" s="583"/>
      <c r="AL119" s="583"/>
      <c r="AM119" s="583"/>
      <c r="AN119" s="574"/>
      <c r="AO119" s="574"/>
      <c r="AP119" s="574"/>
      <c r="AQ119" s="574"/>
      <c r="AR119" s="574"/>
      <c r="AS119" s="574"/>
      <c r="AT119" s="574"/>
      <c r="AU119" s="574"/>
      <c r="AV119" s="574"/>
      <c r="AW119" s="574"/>
      <c r="AX119" s="565"/>
      <c r="AY119" s="565"/>
      <c r="AZ119" s="565"/>
    </row>
    <row r="120" spans="1:52" ht="22.5" hidden="1" outlineLevel="1" x14ac:dyDescent="0.2">
      <c r="A120" s="557" t="str">
        <f t="shared" si="13"/>
        <v>1</v>
      </c>
      <c r="B120" s="537" t="s">
        <v>876</v>
      </c>
      <c r="D120" s="537" t="s">
        <v>877</v>
      </c>
      <c r="L120" s="568" t="s">
        <v>878</v>
      </c>
      <c r="M120" s="604" t="s">
        <v>879</v>
      </c>
      <c r="N120" s="570" t="s">
        <v>106</v>
      </c>
      <c r="O120" s="583"/>
      <c r="P120" s="583"/>
      <c r="Q120" s="583"/>
      <c r="R120" s="573">
        <v>0</v>
      </c>
      <c r="S120" s="583"/>
      <c r="T120" s="583">
        <v>0</v>
      </c>
      <c r="U120" s="583"/>
      <c r="V120" s="583"/>
      <c r="W120" s="583"/>
      <c r="X120" s="583"/>
      <c r="Y120" s="583"/>
      <c r="Z120" s="583"/>
      <c r="AA120" s="583"/>
      <c r="AB120" s="583"/>
      <c r="AC120" s="583"/>
      <c r="AD120" s="583">
        <v>0</v>
      </c>
      <c r="AE120" s="583"/>
      <c r="AF120" s="583"/>
      <c r="AG120" s="583"/>
      <c r="AH120" s="583"/>
      <c r="AI120" s="583"/>
      <c r="AJ120" s="583"/>
      <c r="AK120" s="583"/>
      <c r="AL120" s="583"/>
      <c r="AM120" s="583"/>
      <c r="AN120" s="574"/>
      <c r="AO120" s="574"/>
      <c r="AP120" s="574"/>
      <c r="AQ120" s="574"/>
      <c r="AR120" s="574"/>
      <c r="AS120" s="574"/>
      <c r="AT120" s="574"/>
      <c r="AU120" s="574"/>
      <c r="AV120" s="574"/>
      <c r="AW120" s="574"/>
      <c r="AX120" s="565"/>
      <c r="AY120" s="565"/>
      <c r="AZ120" s="565"/>
    </row>
    <row r="121" spans="1:52" ht="11.25" hidden="1" outlineLevel="1" x14ac:dyDescent="0.2">
      <c r="A121" s="557" t="str">
        <f t="shared" si="13"/>
        <v>1</v>
      </c>
      <c r="B121" s="537" t="s">
        <v>861</v>
      </c>
      <c r="D121" s="537" t="s">
        <v>880</v>
      </c>
      <c r="L121" s="615" t="s">
        <v>881</v>
      </c>
      <c r="M121" s="605" t="s">
        <v>882</v>
      </c>
      <c r="N121" s="570" t="s">
        <v>106</v>
      </c>
      <c r="O121" s="583"/>
      <c r="P121" s="583"/>
      <c r="Q121" s="583"/>
      <c r="R121" s="573">
        <v>0</v>
      </c>
      <c r="S121" s="583"/>
      <c r="T121" s="583">
        <v>0</v>
      </c>
      <c r="U121" s="583"/>
      <c r="V121" s="583"/>
      <c r="W121" s="583"/>
      <c r="X121" s="583"/>
      <c r="Y121" s="583"/>
      <c r="Z121" s="583"/>
      <c r="AA121" s="583"/>
      <c r="AB121" s="583"/>
      <c r="AC121" s="583"/>
      <c r="AD121" s="583">
        <v>0</v>
      </c>
      <c r="AE121" s="583"/>
      <c r="AF121" s="583"/>
      <c r="AG121" s="583"/>
      <c r="AH121" s="583"/>
      <c r="AI121" s="583"/>
      <c r="AJ121" s="583"/>
      <c r="AK121" s="583"/>
      <c r="AL121" s="583"/>
      <c r="AM121" s="583"/>
      <c r="AN121" s="574"/>
      <c r="AO121" s="574"/>
      <c r="AP121" s="574"/>
      <c r="AQ121" s="574"/>
      <c r="AR121" s="574"/>
      <c r="AS121" s="574"/>
      <c r="AT121" s="574"/>
      <c r="AU121" s="574"/>
      <c r="AV121" s="574"/>
      <c r="AW121" s="574"/>
      <c r="AX121" s="565"/>
      <c r="AY121" s="565"/>
      <c r="AZ121" s="565"/>
    </row>
    <row r="122" spans="1:52" ht="11.25" hidden="1" outlineLevel="1" x14ac:dyDescent="0.2">
      <c r="A122" s="557" t="str">
        <f t="shared" si="13"/>
        <v>1</v>
      </c>
      <c r="B122" s="537" t="s">
        <v>883</v>
      </c>
      <c r="D122" s="537" t="s">
        <v>884</v>
      </c>
      <c r="L122" s="615" t="s">
        <v>885</v>
      </c>
      <c r="M122" s="605" t="s">
        <v>886</v>
      </c>
      <c r="N122" s="570" t="s">
        <v>106</v>
      </c>
      <c r="O122" s="583"/>
      <c r="P122" s="583"/>
      <c r="Q122" s="583"/>
      <c r="R122" s="573">
        <v>0</v>
      </c>
      <c r="S122" s="583"/>
      <c r="T122" s="583">
        <v>0</v>
      </c>
      <c r="U122" s="583"/>
      <c r="V122" s="583"/>
      <c r="W122" s="583"/>
      <c r="X122" s="583"/>
      <c r="Y122" s="583"/>
      <c r="Z122" s="583"/>
      <c r="AA122" s="583"/>
      <c r="AB122" s="583"/>
      <c r="AC122" s="583"/>
      <c r="AD122" s="583">
        <v>0</v>
      </c>
      <c r="AE122" s="583"/>
      <c r="AF122" s="583"/>
      <c r="AG122" s="583"/>
      <c r="AH122" s="583"/>
      <c r="AI122" s="583"/>
      <c r="AJ122" s="583"/>
      <c r="AK122" s="583"/>
      <c r="AL122" s="583"/>
      <c r="AM122" s="583"/>
      <c r="AN122" s="574"/>
      <c r="AO122" s="574"/>
      <c r="AP122" s="574"/>
      <c r="AQ122" s="574"/>
      <c r="AR122" s="574"/>
      <c r="AS122" s="574"/>
      <c r="AT122" s="574"/>
      <c r="AU122" s="574"/>
      <c r="AV122" s="574"/>
      <c r="AW122" s="574"/>
      <c r="AX122" s="565"/>
      <c r="AY122" s="565"/>
      <c r="AZ122" s="565"/>
    </row>
    <row r="123" spans="1:52" s="590" customFormat="1" ht="11.25" hidden="1" outlineLevel="1" x14ac:dyDescent="0.2">
      <c r="A123" s="557" t="str">
        <f t="shared" si="13"/>
        <v>1</v>
      </c>
      <c r="D123" s="590" t="s">
        <v>883</v>
      </c>
      <c r="L123" s="591" t="s">
        <v>224</v>
      </c>
      <c r="M123" s="608" t="s">
        <v>887</v>
      </c>
      <c r="N123" s="593" t="s">
        <v>106</v>
      </c>
      <c r="O123" s="564"/>
      <c r="P123" s="564"/>
      <c r="Q123" s="564"/>
      <c r="R123" s="563">
        <v>0</v>
      </c>
      <c r="S123" s="564"/>
      <c r="T123" s="564"/>
      <c r="U123" s="564"/>
      <c r="V123" s="564"/>
      <c r="W123" s="564"/>
      <c r="X123" s="564"/>
      <c r="Y123" s="564"/>
      <c r="Z123" s="564"/>
      <c r="AA123" s="564"/>
      <c r="AB123" s="564"/>
      <c r="AC123" s="564"/>
      <c r="AD123" s="564"/>
      <c r="AE123" s="564"/>
      <c r="AF123" s="564"/>
      <c r="AG123" s="564"/>
      <c r="AH123" s="564"/>
      <c r="AI123" s="564"/>
      <c r="AJ123" s="564"/>
      <c r="AK123" s="564"/>
      <c r="AL123" s="564"/>
      <c r="AM123" s="564"/>
      <c r="AN123" s="576"/>
      <c r="AO123" s="576"/>
      <c r="AP123" s="576"/>
      <c r="AQ123" s="576"/>
      <c r="AR123" s="576"/>
      <c r="AS123" s="576"/>
      <c r="AT123" s="576"/>
      <c r="AU123" s="576"/>
      <c r="AV123" s="576"/>
      <c r="AW123" s="576"/>
      <c r="AX123" s="577"/>
      <c r="AY123" s="577"/>
      <c r="AZ123" s="577"/>
    </row>
    <row r="124" spans="1:52" ht="11.25" hidden="1" outlineLevel="1" x14ac:dyDescent="0.2">
      <c r="A124" s="557" t="str">
        <f t="shared" si="13"/>
        <v>1</v>
      </c>
      <c r="D124" s="537" t="s">
        <v>888</v>
      </c>
      <c r="L124" s="568" t="s">
        <v>889</v>
      </c>
      <c r="M124" s="569" t="s">
        <v>890</v>
      </c>
      <c r="N124" s="570" t="s">
        <v>24</v>
      </c>
      <c r="O124" s="573">
        <v>0</v>
      </c>
      <c r="P124" s="573">
        <v>0</v>
      </c>
      <c r="Q124" s="573">
        <v>0</v>
      </c>
      <c r="R124" s="573">
        <v>0</v>
      </c>
      <c r="S124" s="573">
        <v>0</v>
      </c>
      <c r="T124" s="573">
        <v>0</v>
      </c>
      <c r="U124" s="573">
        <v>0</v>
      </c>
      <c r="V124" s="573">
        <v>0</v>
      </c>
      <c r="W124" s="573">
        <v>0</v>
      </c>
      <c r="X124" s="573">
        <v>0</v>
      </c>
      <c r="Y124" s="573">
        <v>0</v>
      </c>
      <c r="Z124" s="573">
        <v>0</v>
      </c>
      <c r="AA124" s="573">
        <v>0</v>
      </c>
      <c r="AB124" s="573">
        <v>0</v>
      </c>
      <c r="AC124" s="573">
        <v>0</v>
      </c>
      <c r="AD124" s="573">
        <v>0</v>
      </c>
      <c r="AE124" s="573">
        <v>0</v>
      </c>
      <c r="AF124" s="573">
        <v>0</v>
      </c>
      <c r="AG124" s="573">
        <v>0</v>
      </c>
      <c r="AH124" s="573">
        <v>0</v>
      </c>
      <c r="AI124" s="573" t="e">
        <f t="shared" ref="AI124:AM124" si="22">IF(AI125=0,0,AI123/AI125*100)</f>
        <v>#REF!</v>
      </c>
      <c r="AJ124" s="573" t="e">
        <f t="shared" si="22"/>
        <v>#REF!</v>
      </c>
      <c r="AK124" s="573" t="e">
        <f t="shared" si="22"/>
        <v>#REF!</v>
      </c>
      <c r="AL124" s="573" t="e">
        <f t="shared" si="22"/>
        <v>#REF!</v>
      </c>
      <c r="AM124" s="573" t="e">
        <f t="shared" si="22"/>
        <v>#REF!</v>
      </c>
      <c r="AN124" s="574"/>
      <c r="AO124" s="574"/>
      <c r="AP124" s="574"/>
      <c r="AQ124" s="574"/>
      <c r="AR124" s="574"/>
      <c r="AS124" s="574"/>
      <c r="AT124" s="574"/>
      <c r="AU124" s="574"/>
      <c r="AV124" s="574"/>
      <c r="AW124" s="574"/>
      <c r="AX124" s="565"/>
      <c r="AY124" s="565"/>
      <c r="AZ124" s="565"/>
    </row>
    <row r="125" spans="1:52" s="590" customFormat="1" ht="11.25" hidden="1" outlineLevel="1" x14ac:dyDescent="0.2">
      <c r="A125" s="557" t="str">
        <f t="shared" si="13"/>
        <v>1</v>
      </c>
      <c r="C125" s="537"/>
      <c r="D125" s="537" t="s">
        <v>853</v>
      </c>
      <c r="L125" s="591" t="s">
        <v>226</v>
      </c>
      <c r="M125" s="608" t="s">
        <v>891</v>
      </c>
      <c r="N125" s="562" t="s">
        <v>106</v>
      </c>
      <c r="O125" s="616">
        <v>2977</v>
      </c>
      <c r="P125" s="594">
        <v>2489.7864199999995</v>
      </c>
      <c r="Q125" s="594">
        <v>2741.9556389669242</v>
      </c>
      <c r="R125" s="563">
        <v>252.16921896692475</v>
      </c>
      <c r="S125" s="594">
        <v>2754.02</v>
      </c>
      <c r="T125" s="594">
        <v>5883.5354719175202</v>
      </c>
      <c r="U125" s="594">
        <v>6061.1515218862796</v>
      </c>
      <c r="V125" s="594">
        <v>6152.2272149341143</v>
      </c>
      <c r="W125" s="594">
        <v>6342.3001164961652</v>
      </c>
      <c r="X125" s="594">
        <v>6539.4615679444514</v>
      </c>
      <c r="Y125" s="594">
        <v>5527.5415679444513</v>
      </c>
      <c r="Z125" s="594">
        <v>5527.5415679444513</v>
      </c>
      <c r="AA125" s="594">
        <v>5527.5415679444513</v>
      </c>
      <c r="AB125" s="594">
        <v>5527.5415679444513</v>
      </c>
      <c r="AC125" s="594">
        <v>5527.5415679444513</v>
      </c>
      <c r="AD125" s="594">
        <v>3365.0093535671222</v>
      </c>
      <c r="AE125" s="594">
        <v>3506.58</v>
      </c>
      <c r="AF125" s="594">
        <v>3624.1400000000003</v>
      </c>
      <c r="AG125" s="594">
        <v>3745.7700000000004</v>
      </c>
      <c r="AH125" s="594">
        <v>3873.4500000000003</v>
      </c>
      <c r="AI125" s="594" t="e">
        <f t="shared" ref="AI125:AM125" si="23">AI17+AI67+AI101+AI102+AI104+AI109</f>
        <v>#REF!</v>
      </c>
      <c r="AJ125" s="594" t="e">
        <f t="shared" si="23"/>
        <v>#REF!</v>
      </c>
      <c r="AK125" s="594" t="e">
        <f t="shared" si="23"/>
        <v>#REF!</v>
      </c>
      <c r="AL125" s="594" t="e">
        <f t="shared" si="23"/>
        <v>#REF!</v>
      </c>
      <c r="AM125" s="594" t="e">
        <f t="shared" si="23"/>
        <v>#REF!</v>
      </c>
      <c r="AN125" s="563">
        <f>IF(S125=0,0,(AD125-S125)/S125*100)</f>
        <v>22.185363707130744</v>
      </c>
      <c r="AO125" s="563">
        <f t="shared" ref="AO125:AW126" si="24">IF(AD125=0,0,(AE125-AD125)/AD125*100)</f>
        <v>4.2071397597395661</v>
      </c>
      <c r="AP125" s="563">
        <f t="shared" si="24"/>
        <v>3.3525543406966443</v>
      </c>
      <c r="AQ125" s="563">
        <f t="shared" si="24"/>
        <v>3.3561065521751394</v>
      </c>
      <c r="AR125" s="563">
        <f t="shared" si="24"/>
        <v>3.408644951505293</v>
      </c>
      <c r="AS125" s="563" t="e">
        <f t="shared" si="24"/>
        <v>#REF!</v>
      </c>
      <c r="AT125" s="563" t="e">
        <f t="shared" si="24"/>
        <v>#REF!</v>
      </c>
      <c r="AU125" s="563" t="e">
        <f t="shared" si="24"/>
        <v>#REF!</v>
      </c>
      <c r="AV125" s="563" t="e">
        <f t="shared" si="24"/>
        <v>#REF!</v>
      </c>
      <c r="AW125" s="563" t="e">
        <f t="shared" si="24"/>
        <v>#REF!</v>
      </c>
      <c r="AX125" s="565"/>
      <c r="AY125" s="565"/>
      <c r="AZ125" s="565"/>
    </row>
    <row r="126" spans="1:52" s="590" customFormat="1" ht="11.25" hidden="1" outlineLevel="1" x14ac:dyDescent="0.2">
      <c r="A126" s="557" t="str">
        <f t="shared" si="13"/>
        <v>1</v>
      </c>
      <c r="C126" s="537"/>
      <c r="D126" s="537" t="s">
        <v>892</v>
      </c>
      <c r="L126" s="591" t="s">
        <v>394</v>
      </c>
      <c r="M126" s="608" t="s">
        <v>893</v>
      </c>
      <c r="N126" s="593" t="s">
        <v>106</v>
      </c>
      <c r="O126" s="616">
        <v>2977</v>
      </c>
      <c r="P126" s="594">
        <v>2489.7864199999995</v>
      </c>
      <c r="Q126" s="594">
        <v>2741.9556389669242</v>
      </c>
      <c r="R126" s="594">
        <v>252.16921896692475</v>
      </c>
      <c r="S126" s="594">
        <v>2588.6799999999998</v>
      </c>
      <c r="T126" s="594">
        <v>5883.5354719175202</v>
      </c>
      <c r="U126" s="594">
        <v>6061.1515218862796</v>
      </c>
      <c r="V126" s="594">
        <v>6152.2272149341143</v>
      </c>
      <c r="W126" s="594">
        <v>6342.3001164961652</v>
      </c>
      <c r="X126" s="594">
        <v>6539.4615679444514</v>
      </c>
      <c r="Y126" s="594">
        <v>5527.5415679444513</v>
      </c>
      <c r="Z126" s="594">
        <v>5527.5415679444513</v>
      </c>
      <c r="AA126" s="594">
        <v>5527.5415679444513</v>
      </c>
      <c r="AB126" s="594">
        <v>5527.5415679444513</v>
      </c>
      <c r="AC126" s="594">
        <v>5527.5415679444513</v>
      </c>
      <c r="AD126" s="594">
        <v>3105.6993535671222</v>
      </c>
      <c r="AE126" s="594">
        <v>3315.0699999999997</v>
      </c>
      <c r="AF126" s="594">
        <v>3402.2900000000004</v>
      </c>
      <c r="AG126" s="594">
        <v>3478.9200000000005</v>
      </c>
      <c r="AH126" s="594">
        <v>3726.9400000000005</v>
      </c>
      <c r="AI126" s="594" t="e">
        <f t="shared" ref="AI126:AM126" si="25">AI125+AI110+AI123</f>
        <v>#REF!</v>
      </c>
      <c r="AJ126" s="594" t="e">
        <f t="shared" si="25"/>
        <v>#REF!</v>
      </c>
      <c r="AK126" s="594" t="e">
        <f t="shared" si="25"/>
        <v>#REF!</v>
      </c>
      <c r="AL126" s="594" t="e">
        <f t="shared" si="25"/>
        <v>#REF!</v>
      </c>
      <c r="AM126" s="594" t="e">
        <f t="shared" si="25"/>
        <v>#REF!</v>
      </c>
      <c r="AN126" s="563">
        <f>IF(S126=0,0,(AD126-S126)/S126*100)</f>
        <v>19.972316144410371</v>
      </c>
      <c r="AO126" s="563">
        <f t="shared" si="24"/>
        <v>6.7414975693767669</v>
      </c>
      <c r="AP126" s="563">
        <f t="shared" si="24"/>
        <v>2.6310153330095809</v>
      </c>
      <c r="AQ126" s="563">
        <f t="shared" si="24"/>
        <v>2.2523065347163262</v>
      </c>
      <c r="AR126" s="563">
        <f t="shared" si="24"/>
        <v>7.1292240120497148</v>
      </c>
      <c r="AS126" s="563" t="e">
        <f t="shared" si="24"/>
        <v>#REF!</v>
      </c>
      <c r="AT126" s="563" t="e">
        <f t="shared" si="24"/>
        <v>#REF!</v>
      </c>
      <c r="AU126" s="563" t="e">
        <f t="shared" si="24"/>
        <v>#REF!</v>
      </c>
      <c r="AV126" s="563" t="e">
        <f t="shared" si="24"/>
        <v>#REF!</v>
      </c>
      <c r="AW126" s="563" t="e">
        <f t="shared" si="24"/>
        <v>#REF!</v>
      </c>
      <c r="AX126" s="565"/>
      <c r="AY126" s="565"/>
      <c r="AZ126" s="565"/>
    </row>
    <row r="127" spans="1:52" ht="15" hidden="1" outlineLevel="1" x14ac:dyDescent="0.25">
      <c r="A127" s="557" t="str">
        <f t="shared" si="13"/>
        <v>1</v>
      </c>
      <c r="C127" s="595" t="b">
        <f>B16="двухставочный"</f>
        <v>0</v>
      </c>
      <c r="D127" s="617" t="s">
        <v>894</v>
      </c>
      <c r="L127" s="615" t="s">
        <v>895</v>
      </c>
      <c r="M127" s="605" t="s">
        <v>896</v>
      </c>
      <c r="N127" s="570" t="s">
        <v>106</v>
      </c>
      <c r="O127" s="583"/>
      <c r="P127" s="583"/>
      <c r="Q127" s="583"/>
      <c r="R127" s="573">
        <v>0</v>
      </c>
      <c r="S127" s="583"/>
      <c r="T127" s="583"/>
      <c r="U127" s="583"/>
      <c r="V127" s="583"/>
      <c r="W127" s="583"/>
      <c r="X127" s="583"/>
      <c r="Y127" s="583"/>
      <c r="Z127" s="583"/>
      <c r="AA127" s="583"/>
      <c r="AB127" s="583"/>
      <c r="AC127" s="583"/>
      <c r="AD127" s="583"/>
      <c r="AE127" s="583"/>
      <c r="AF127" s="583"/>
      <c r="AG127" s="583"/>
      <c r="AH127" s="583"/>
      <c r="AI127" s="583"/>
      <c r="AJ127" s="583"/>
      <c r="AK127" s="583"/>
      <c r="AL127" s="583"/>
      <c r="AM127" s="583"/>
      <c r="AN127" s="574"/>
      <c r="AO127" s="574"/>
      <c r="AP127" s="574"/>
      <c r="AQ127" s="574"/>
      <c r="AR127" s="574"/>
      <c r="AS127" s="574"/>
      <c r="AT127" s="574"/>
      <c r="AU127" s="574"/>
      <c r="AV127" s="574"/>
      <c r="AW127" s="574"/>
      <c r="AX127" s="565"/>
      <c r="AY127" s="565"/>
      <c r="AZ127" s="565"/>
    </row>
    <row r="128" spans="1:52" ht="15" hidden="1" outlineLevel="1" x14ac:dyDescent="0.25">
      <c r="A128" s="557" t="str">
        <f t="shared" si="13"/>
        <v>1</v>
      </c>
      <c r="C128" s="595" t="b">
        <f>B16="двухставочный"</f>
        <v>0</v>
      </c>
      <c r="D128" s="617" t="s">
        <v>897</v>
      </c>
      <c r="L128" s="615" t="s">
        <v>898</v>
      </c>
      <c r="M128" s="605" t="s">
        <v>899</v>
      </c>
      <c r="N128" s="570" t="s">
        <v>106</v>
      </c>
      <c r="O128" s="583"/>
      <c r="P128" s="583"/>
      <c r="Q128" s="583"/>
      <c r="R128" s="573">
        <v>0</v>
      </c>
      <c r="S128" s="583"/>
      <c r="T128" s="583"/>
      <c r="U128" s="583"/>
      <c r="V128" s="583"/>
      <c r="W128" s="583"/>
      <c r="X128" s="583"/>
      <c r="Y128" s="583"/>
      <c r="Z128" s="583"/>
      <c r="AA128" s="583"/>
      <c r="AB128" s="583"/>
      <c r="AC128" s="583"/>
      <c r="AD128" s="583"/>
      <c r="AE128" s="583"/>
      <c r="AF128" s="583"/>
      <c r="AG128" s="583"/>
      <c r="AH128" s="583"/>
      <c r="AI128" s="583"/>
      <c r="AJ128" s="583"/>
      <c r="AK128" s="583"/>
      <c r="AL128" s="583"/>
      <c r="AM128" s="583"/>
      <c r="AN128" s="574"/>
      <c r="AO128" s="574"/>
      <c r="AP128" s="574"/>
      <c r="AQ128" s="574"/>
      <c r="AR128" s="574"/>
      <c r="AS128" s="574"/>
      <c r="AT128" s="574"/>
      <c r="AU128" s="574"/>
      <c r="AV128" s="574"/>
      <c r="AW128" s="574"/>
      <c r="AX128" s="565"/>
      <c r="AY128" s="565"/>
      <c r="AZ128" s="565"/>
    </row>
    <row r="129" spans="1:53" s="590" customFormat="1" ht="11.25" hidden="1" outlineLevel="1" x14ac:dyDescent="0.2">
      <c r="A129" s="557" t="str">
        <f t="shared" si="13"/>
        <v>1</v>
      </c>
      <c r="B129" s="537" t="s">
        <v>900</v>
      </c>
      <c r="C129" s="537"/>
      <c r="D129" s="537" t="s">
        <v>901</v>
      </c>
      <c r="L129" s="591" t="s">
        <v>902</v>
      </c>
      <c r="M129" s="608" t="s">
        <v>903</v>
      </c>
      <c r="N129" s="593" t="s">
        <v>19</v>
      </c>
      <c r="O129" s="618">
        <v>17.8</v>
      </c>
      <c r="P129" s="618">
        <v>20.379000000000001</v>
      </c>
      <c r="Q129" s="618">
        <v>20.379000000000001</v>
      </c>
      <c r="R129" s="618">
        <v>0</v>
      </c>
      <c r="S129" s="618">
        <v>17.8</v>
      </c>
      <c r="T129" s="618">
        <v>20.379000000000001</v>
      </c>
      <c r="U129" s="618">
        <v>20.379000000000001</v>
      </c>
      <c r="V129" s="618">
        <v>20.379000000000001</v>
      </c>
      <c r="W129" s="618">
        <v>20.379000000000001</v>
      </c>
      <c r="X129" s="618">
        <v>20.379000000000001</v>
      </c>
      <c r="Y129" s="618">
        <v>0</v>
      </c>
      <c r="Z129" s="618">
        <v>0</v>
      </c>
      <c r="AA129" s="618">
        <v>0</v>
      </c>
      <c r="AB129" s="618">
        <v>0</v>
      </c>
      <c r="AC129" s="618">
        <v>0</v>
      </c>
      <c r="AD129" s="618">
        <v>20.379000000000001</v>
      </c>
      <c r="AE129" s="618">
        <v>20.379000000000001</v>
      </c>
      <c r="AF129" s="618">
        <v>20.379000000000001</v>
      </c>
      <c r="AG129" s="618">
        <v>20.379000000000001</v>
      </c>
      <c r="AH129" s="618">
        <v>20.379000000000001</v>
      </c>
      <c r="AI129" s="618">
        <f>SUMIFS([12]Баланс!AH$16:AH$95,[12]Баланс!$A$16:$A$95,$A129,[12]Баланс!$B$16:$B$95,"ПО")</f>
        <v>0</v>
      </c>
      <c r="AJ129" s="618">
        <f>SUMIFS([12]Баланс!AI$16:AI$95,[12]Баланс!$A$16:$A$95,$A129,[12]Баланс!$B$16:$B$95,"ПО")</f>
        <v>0</v>
      </c>
      <c r="AK129" s="618">
        <f>SUMIFS([12]Баланс!AJ$16:AJ$95,[12]Баланс!$A$16:$A$95,$A129,[12]Баланс!$B$16:$B$95,"ПО")</f>
        <v>0</v>
      </c>
      <c r="AL129" s="618">
        <f>SUMIFS([12]Баланс!AK$16:AK$95,[12]Баланс!$A$16:$A$95,$A129,[12]Баланс!$B$16:$B$95,"ПО")</f>
        <v>0</v>
      </c>
      <c r="AM129" s="618">
        <f>SUMIFS([12]Баланс!AL$16:AL$95,[12]Баланс!$A$16:$A$95,$A129,[12]Баланс!$B$16:$B$95,"ПО")</f>
        <v>0</v>
      </c>
      <c r="AN129" s="576"/>
      <c r="AO129" s="576"/>
      <c r="AP129" s="576"/>
      <c r="AQ129" s="576"/>
      <c r="AR129" s="576"/>
      <c r="AS129" s="576"/>
      <c r="AT129" s="576"/>
      <c r="AU129" s="576"/>
      <c r="AV129" s="576"/>
      <c r="AW129" s="576"/>
      <c r="AX129" s="565"/>
      <c r="AY129" s="565"/>
      <c r="AZ129" s="565"/>
    </row>
    <row r="130" spans="1:53" ht="12.75" hidden="1" outlineLevel="1" x14ac:dyDescent="0.2">
      <c r="A130" s="557" t="str">
        <f t="shared" si="13"/>
        <v>1</v>
      </c>
      <c r="B130" s="537" t="s">
        <v>904</v>
      </c>
      <c r="D130" s="537" t="s">
        <v>905</v>
      </c>
      <c r="L130" s="568" t="s">
        <v>906</v>
      </c>
      <c r="M130" s="613" t="s">
        <v>907</v>
      </c>
      <c r="N130" s="570" t="s">
        <v>19</v>
      </c>
      <c r="O130" s="619">
        <v>8.9</v>
      </c>
      <c r="P130" s="619">
        <v>10.189500000000001</v>
      </c>
      <c r="Q130" s="619">
        <v>10.189500000000001</v>
      </c>
      <c r="R130" s="572">
        <v>0</v>
      </c>
      <c r="S130" s="619">
        <v>8.9</v>
      </c>
      <c r="T130" s="619">
        <v>10.189500000000001</v>
      </c>
      <c r="U130" s="619">
        <v>10.189500000000001</v>
      </c>
      <c r="V130" s="619">
        <v>10.189500000000001</v>
      </c>
      <c r="W130" s="619">
        <v>10.189500000000001</v>
      </c>
      <c r="X130" s="619">
        <v>10.189500000000001</v>
      </c>
      <c r="Y130" s="619">
        <v>0</v>
      </c>
      <c r="Z130" s="619">
        <v>0</v>
      </c>
      <c r="AA130" s="619">
        <v>0</v>
      </c>
      <c r="AB130" s="619">
        <v>0</v>
      </c>
      <c r="AC130" s="619">
        <v>0</v>
      </c>
      <c r="AD130" s="619">
        <v>10.189500000000001</v>
      </c>
      <c r="AE130" s="619">
        <v>10.189500000000001</v>
      </c>
      <c r="AF130" s="619">
        <v>10.189500000000001</v>
      </c>
      <c r="AG130" s="619">
        <v>10.189500000000001</v>
      </c>
      <c r="AH130" s="619">
        <v>10.189500000000001</v>
      </c>
      <c r="AI130" s="619">
        <f t="shared" ref="AI130:AM130" si="26">AI129/2</f>
        <v>0</v>
      </c>
      <c r="AJ130" s="619">
        <f t="shared" si="26"/>
        <v>0</v>
      </c>
      <c r="AK130" s="619">
        <f t="shared" si="26"/>
        <v>0</v>
      </c>
      <c r="AL130" s="619">
        <f t="shared" si="26"/>
        <v>0</v>
      </c>
      <c r="AM130" s="619">
        <f t="shared" si="26"/>
        <v>0</v>
      </c>
      <c r="AN130" s="574"/>
      <c r="AO130" s="574"/>
      <c r="AP130" s="574"/>
      <c r="AQ130" s="574"/>
      <c r="AR130" s="574"/>
      <c r="AS130" s="574"/>
      <c r="AT130" s="574"/>
      <c r="AU130" s="574"/>
      <c r="AV130" s="574"/>
      <c r="AW130" s="574"/>
      <c r="AX130" s="565"/>
      <c r="AY130" s="565"/>
      <c r="AZ130" s="565"/>
    </row>
    <row r="131" spans="1:53" ht="12.75" hidden="1" outlineLevel="1" x14ac:dyDescent="0.2">
      <c r="A131" s="557" t="str">
        <f t="shared" si="13"/>
        <v>1</v>
      </c>
      <c r="B131" s="537" t="s">
        <v>908</v>
      </c>
      <c r="D131" s="537" t="s">
        <v>909</v>
      </c>
      <c r="L131" s="568" t="s">
        <v>910</v>
      </c>
      <c r="M131" s="613" t="s">
        <v>911</v>
      </c>
      <c r="N131" s="570" t="s">
        <v>912</v>
      </c>
      <c r="O131" s="609">
        <v>167.23</v>
      </c>
      <c r="P131" s="609">
        <v>122.17</v>
      </c>
      <c r="Q131" s="609">
        <v>134.55000000000001</v>
      </c>
      <c r="R131" s="573">
        <v>12.38000000000001</v>
      </c>
      <c r="S131" s="609">
        <v>145.41999999999999</v>
      </c>
      <c r="T131" s="609">
        <v>288.70999999999998</v>
      </c>
      <c r="U131" s="609">
        <v>297.42</v>
      </c>
      <c r="V131" s="609">
        <v>301.89</v>
      </c>
      <c r="W131" s="609">
        <v>311.22000000000003</v>
      </c>
      <c r="X131" s="609">
        <v>320.89</v>
      </c>
      <c r="Y131" s="609"/>
      <c r="Z131" s="609"/>
      <c r="AA131" s="609"/>
      <c r="AB131" s="609"/>
      <c r="AC131" s="609"/>
      <c r="AD131" s="609">
        <v>145.41999999999999</v>
      </c>
      <c r="AE131" s="609">
        <v>159.37408740047323</v>
      </c>
      <c r="AF131" s="609">
        <v>165.96768599370699</v>
      </c>
      <c r="AG131" s="609">
        <v>167.93387934315942</v>
      </c>
      <c r="AH131" s="609">
        <v>173.49817276930932</v>
      </c>
      <c r="AI131" s="609"/>
      <c r="AJ131" s="609"/>
      <c r="AK131" s="609"/>
      <c r="AL131" s="609"/>
      <c r="AM131" s="609"/>
      <c r="AN131" s="574"/>
      <c r="AO131" s="574"/>
      <c r="AP131" s="574"/>
      <c r="AQ131" s="574"/>
      <c r="AR131" s="574"/>
      <c r="AS131" s="574"/>
      <c r="AT131" s="574"/>
      <c r="AU131" s="574"/>
      <c r="AV131" s="574"/>
      <c r="AW131" s="574"/>
      <c r="AX131" s="565"/>
      <c r="AY131" s="565"/>
      <c r="AZ131" s="565"/>
    </row>
    <row r="132" spans="1:53" ht="12.75" hidden="1" outlineLevel="1" x14ac:dyDescent="0.2">
      <c r="A132" s="557" t="str">
        <f t="shared" si="13"/>
        <v>1</v>
      </c>
      <c r="B132" s="537" t="s">
        <v>913</v>
      </c>
      <c r="D132" s="537" t="s">
        <v>914</v>
      </c>
      <c r="L132" s="568" t="s">
        <v>915</v>
      </c>
      <c r="M132" s="613" t="s">
        <v>916</v>
      </c>
      <c r="N132" s="570" t="s">
        <v>19</v>
      </c>
      <c r="O132" s="620">
        <v>8.9</v>
      </c>
      <c r="P132" s="620">
        <v>10.189500000000001</v>
      </c>
      <c r="Q132" s="620">
        <v>10.189500000000001</v>
      </c>
      <c r="R132" s="572">
        <v>0</v>
      </c>
      <c r="S132" s="620">
        <v>8.9</v>
      </c>
      <c r="T132" s="620">
        <v>10.189500000000001</v>
      </c>
      <c r="U132" s="620">
        <v>10.189500000000001</v>
      </c>
      <c r="V132" s="620">
        <v>10.189500000000001</v>
      </c>
      <c r="W132" s="620">
        <v>10.189500000000001</v>
      </c>
      <c r="X132" s="620">
        <v>10.189500000000001</v>
      </c>
      <c r="Y132" s="620">
        <v>0</v>
      </c>
      <c r="Z132" s="620">
        <v>0</v>
      </c>
      <c r="AA132" s="620">
        <v>0</v>
      </c>
      <c r="AB132" s="620">
        <v>0</v>
      </c>
      <c r="AC132" s="620">
        <v>0</v>
      </c>
      <c r="AD132" s="620">
        <v>10.189500000000001</v>
      </c>
      <c r="AE132" s="620">
        <v>10.189500000000001</v>
      </c>
      <c r="AF132" s="620">
        <v>10.189500000000001</v>
      </c>
      <c r="AG132" s="620">
        <v>10.189500000000001</v>
      </c>
      <c r="AH132" s="620">
        <v>10.189500000000001</v>
      </c>
      <c r="AI132" s="620">
        <f t="shared" ref="AI132:AM132" si="27">AI129-AI130</f>
        <v>0</v>
      </c>
      <c r="AJ132" s="620">
        <f t="shared" si="27"/>
        <v>0</v>
      </c>
      <c r="AK132" s="620">
        <f t="shared" si="27"/>
        <v>0</v>
      </c>
      <c r="AL132" s="620">
        <f t="shared" si="27"/>
        <v>0</v>
      </c>
      <c r="AM132" s="620">
        <f t="shared" si="27"/>
        <v>0</v>
      </c>
      <c r="AN132" s="574"/>
      <c r="AO132" s="574"/>
      <c r="AP132" s="574"/>
      <c r="AQ132" s="574"/>
      <c r="AR132" s="574"/>
      <c r="AS132" s="574"/>
      <c r="AT132" s="574"/>
      <c r="AU132" s="574"/>
      <c r="AV132" s="574"/>
      <c r="AW132" s="574"/>
      <c r="AX132" s="565"/>
      <c r="AY132" s="565"/>
      <c r="AZ132" s="565"/>
    </row>
    <row r="133" spans="1:53" ht="12.75" hidden="1" outlineLevel="1" x14ac:dyDescent="0.2">
      <c r="A133" s="557" t="str">
        <f t="shared" si="13"/>
        <v>1</v>
      </c>
      <c r="B133" s="537" t="s">
        <v>917</v>
      </c>
      <c r="D133" s="537" t="s">
        <v>918</v>
      </c>
      <c r="L133" s="568" t="s">
        <v>919</v>
      </c>
      <c r="M133" s="613" t="s">
        <v>920</v>
      </c>
      <c r="N133" s="570" t="s">
        <v>912</v>
      </c>
      <c r="O133" s="609">
        <v>167.23</v>
      </c>
      <c r="P133" s="609">
        <v>122.16824279895964</v>
      </c>
      <c r="Q133" s="609">
        <v>134.54619107580587</v>
      </c>
      <c r="R133" s="573">
        <v>12.377948276846226</v>
      </c>
      <c r="S133" s="609">
        <v>145.41999999999999</v>
      </c>
      <c r="T133" s="609">
        <v>288.70999999999998</v>
      </c>
      <c r="U133" s="609">
        <v>297.42287961983209</v>
      </c>
      <c r="V133" s="609">
        <v>301.89107021287737</v>
      </c>
      <c r="W133" s="609">
        <v>311.21487084706456</v>
      </c>
      <c r="X133" s="609">
        <v>320.89434348539686</v>
      </c>
      <c r="Y133" s="609">
        <v>0</v>
      </c>
      <c r="Z133" s="609">
        <v>0</v>
      </c>
      <c r="AA133" s="609">
        <v>0</v>
      </c>
      <c r="AB133" s="609">
        <v>0</v>
      </c>
      <c r="AC133" s="609">
        <v>0</v>
      </c>
      <c r="AD133" s="609">
        <v>159.37408740047323</v>
      </c>
      <c r="AE133" s="609">
        <v>165.96768599370699</v>
      </c>
      <c r="AF133" s="609">
        <v>167.93387934315942</v>
      </c>
      <c r="AG133" s="609">
        <v>173.49817276930932</v>
      </c>
      <c r="AH133" s="609">
        <v>192.27462226479443</v>
      </c>
      <c r="AI133" s="609">
        <f t="shared" ref="AI133:AM133" si="28">IF(AI132=0,0,(AI126-AI130*AI131)/AI132)</f>
        <v>0</v>
      </c>
      <c r="AJ133" s="609">
        <f t="shared" si="28"/>
        <v>0</v>
      </c>
      <c r="AK133" s="609">
        <f t="shared" si="28"/>
        <v>0</v>
      </c>
      <c r="AL133" s="609">
        <f t="shared" si="28"/>
        <v>0</v>
      </c>
      <c r="AM133" s="609">
        <f t="shared" si="28"/>
        <v>0</v>
      </c>
      <c r="AN133" s="574"/>
      <c r="AO133" s="574"/>
      <c r="AP133" s="574"/>
      <c r="AQ133" s="574"/>
      <c r="AR133" s="574"/>
      <c r="AS133" s="574"/>
      <c r="AT133" s="574"/>
      <c r="AU133" s="574"/>
      <c r="AV133" s="574"/>
      <c r="AW133" s="574"/>
      <c r="AX133" s="565"/>
      <c r="AY133" s="565"/>
      <c r="AZ133" s="565"/>
    </row>
    <row r="134" spans="1:53" ht="11.25" hidden="1" outlineLevel="1" x14ac:dyDescent="0.2">
      <c r="A134" s="557" t="str">
        <f t="shared" si="13"/>
        <v>1</v>
      </c>
      <c r="D134" s="537" t="s">
        <v>921</v>
      </c>
      <c r="L134" s="568" t="s">
        <v>922</v>
      </c>
      <c r="M134" s="569" t="s">
        <v>923</v>
      </c>
      <c r="N134" s="570" t="s">
        <v>24</v>
      </c>
      <c r="O134" s="587">
        <v>100</v>
      </c>
      <c r="P134" s="587">
        <v>99.998561675501051</v>
      </c>
      <c r="Q134" s="587">
        <v>99.997169138465893</v>
      </c>
      <c r="R134" s="574"/>
      <c r="S134" s="587">
        <v>100</v>
      </c>
      <c r="T134" s="587">
        <v>100</v>
      </c>
      <c r="U134" s="587">
        <v>100.00096819979561</v>
      </c>
      <c r="V134" s="587">
        <v>100.00035450424902</v>
      </c>
      <c r="W134" s="587">
        <v>99.998351920527128</v>
      </c>
      <c r="X134" s="587">
        <v>100.00135357455729</v>
      </c>
      <c r="Y134" s="587">
        <v>0</v>
      </c>
      <c r="Z134" s="587">
        <v>0</v>
      </c>
      <c r="AA134" s="587">
        <v>0</v>
      </c>
      <c r="AB134" s="587">
        <v>0</v>
      </c>
      <c r="AC134" s="587">
        <v>0</v>
      </c>
      <c r="AD134" s="587">
        <v>109.59571406991695</v>
      </c>
      <c r="AE134" s="587">
        <v>104.13718359162456</v>
      </c>
      <c r="AF134" s="587">
        <v>101.18468443882924</v>
      </c>
      <c r="AG134" s="587">
        <v>103.313383486354</v>
      </c>
      <c r="AH134" s="587">
        <v>110.82227506825164</v>
      </c>
      <c r="AI134" s="587">
        <f t="shared" ref="AI134:AM134" si="29">IF(AI131=0,0,AI133/AI131*100)</f>
        <v>0</v>
      </c>
      <c r="AJ134" s="587">
        <f t="shared" si="29"/>
        <v>0</v>
      </c>
      <c r="AK134" s="587">
        <f t="shared" si="29"/>
        <v>0</v>
      </c>
      <c r="AL134" s="587">
        <f t="shared" si="29"/>
        <v>0</v>
      </c>
      <c r="AM134" s="587">
        <f t="shared" si="29"/>
        <v>0</v>
      </c>
      <c r="AN134" s="574"/>
      <c r="AO134" s="574"/>
      <c r="AP134" s="574"/>
      <c r="AQ134" s="574"/>
      <c r="AR134" s="574"/>
      <c r="AS134" s="574"/>
      <c r="AT134" s="574"/>
      <c r="AU134" s="574"/>
      <c r="AV134" s="574"/>
      <c r="AW134" s="574"/>
      <c r="AX134" s="565"/>
      <c r="AY134" s="565"/>
      <c r="AZ134" s="565"/>
    </row>
    <row r="135" spans="1:53" ht="11.25" hidden="1" outlineLevel="1" x14ac:dyDescent="0.2">
      <c r="A135" s="557" t="str">
        <f t="shared" si="13"/>
        <v>1</v>
      </c>
      <c r="D135" s="537" t="s">
        <v>924</v>
      </c>
      <c r="L135" s="568" t="s">
        <v>925</v>
      </c>
      <c r="M135" s="569" t="s">
        <v>926</v>
      </c>
      <c r="N135" s="570" t="s">
        <v>912</v>
      </c>
      <c r="O135" s="609">
        <v>167.23</v>
      </c>
      <c r="P135" s="609">
        <v>122.17412139947982</v>
      </c>
      <c r="Q135" s="609">
        <v>134.54809553790295</v>
      </c>
      <c r="R135" s="573">
        <v>12.373974138423137</v>
      </c>
      <c r="S135" s="609">
        <v>145.42146067415729</v>
      </c>
      <c r="T135" s="609">
        <v>288.70579871031549</v>
      </c>
      <c r="U135" s="609">
        <v>297.42143980991608</v>
      </c>
      <c r="V135" s="609">
        <v>301.89053510643868</v>
      </c>
      <c r="W135" s="609">
        <v>311.21743542353232</v>
      </c>
      <c r="X135" s="609">
        <v>320.89217174269839</v>
      </c>
      <c r="Y135" s="609">
        <v>0</v>
      </c>
      <c r="Z135" s="609">
        <v>0</v>
      </c>
      <c r="AA135" s="609">
        <v>0</v>
      </c>
      <c r="AB135" s="609">
        <v>0</v>
      </c>
      <c r="AC135" s="609">
        <v>0</v>
      </c>
      <c r="AD135" s="609">
        <v>152.39704370023662</v>
      </c>
      <c r="AE135" s="609">
        <v>162.67088669709011</v>
      </c>
      <c r="AF135" s="609">
        <v>166.95078266843319</v>
      </c>
      <c r="AG135" s="609">
        <v>170.71102605623437</v>
      </c>
      <c r="AH135" s="609">
        <v>182.88139751705188</v>
      </c>
      <c r="AI135" s="609">
        <f t="shared" ref="AI135:AM135" si="30">IF(AI129=0,0,AI126/AI129)</f>
        <v>0</v>
      </c>
      <c r="AJ135" s="609">
        <f t="shared" si="30"/>
        <v>0</v>
      </c>
      <c r="AK135" s="609">
        <f t="shared" si="30"/>
        <v>0</v>
      </c>
      <c r="AL135" s="609">
        <f t="shared" si="30"/>
        <v>0</v>
      </c>
      <c r="AM135" s="609">
        <f t="shared" si="30"/>
        <v>0</v>
      </c>
      <c r="AN135" s="574"/>
      <c r="AO135" s="574"/>
      <c r="AP135" s="574"/>
      <c r="AQ135" s="574"/>
      <c r="AR135" s="574"/>
      <c r="AS135" s="574"/>
      <c r="AT135" s="574"/>
      <c r="AU135" s="574"/>
      <c r="AV135" s="574"/>
      <c r="AW135" s="574"/>
      <c r="AX135" s="565"/>
      <c r="AY135" s="565"/>
      <c r="AZ135" s="565"/>
    </row>
    <row r="136" spans="1:53" s="590" customFormat="1" ht="11.25" hidden="1" outlineLevel="1" x14ac:dyDescent="0.2">
      <c r="A136" s="557" t="str">
        <f t="shared" si="13"/>
        <v>1</v>
      </c>
      <c r="C136" s="537"/>
      <c r="D136" s="537" t="s">
        <v>927</v>
      </c>
      <c r="L136" s="591" t="s">
        <v>928</v>
      </c>
      <c r="M136" s="608" t="s">
        <v>929</v>
      </c>
      <c r="N136" s="593" t="s">
        <v>106</v>
      </c>
      <c r="O136" s="616">
        <v>2749.5438202247192</v>
      </c>
      <c r="P136" s="616">
        <v>2271.8277874233277</v>
      </c>
      <c r="Q136" s="616">
        <v>2501.9218365273059</v>
      </c>
      <c r="R136" s="594">
        <v>0</v>
      </c>
      <c r="S136" s="616">
        <v>2390.8932134831457</v>
      </c>
      <c r="T136" s="616">
        <v>5368.4843270183173</v>
      </c>
      <c r="U136" s="616">
        <v>5530.5516732653905</v>
      </c>
      <c r="V136" s="616">
        <v>5613.6545003042283</v>
      </c>
      <c r="W136" s="616">
        <v>5787.088211700584</v>
      </c>
      <c r="X136" s="616">
        <v>5966.9899335554774</v>
      </c>
      <c r="Y136" s="616">
        <v>0</v>
      </c>
      <c r="Z136" s="616">
        <v>0</v>
      </c>
      <c r="AA136" s="616">
        <v>0</v>
      </c>
      <c r="AB136" s="616">
        <v>0</v>
      </c>
      <c r="AC136" s="616">
        <v>0</v>
      </c>
      <c r="AD136" s="616">
        <v>2833.8230276059003</v>
      </c>
      <c r="AE136" s="616">
        <v>3024.8651381323912</v>
      </c>
      <c r="AF136" s="616">
        <v>3104.4498037195158</v>
      </c>
      <c r="AG136" s="616">
        <v>3174.3715295156785</v>
      </c>
      <c r="AH136" s="616">
        <v>3400.6795868295803</v>
      </c>
      <c r="AI136" s="616">
        <f t="shared" ref="AI136:AM136" si="31">IF(AI129=0,0,AI126/AI129*AI137)</f>
        <v>0</v>
      </c>
      <c r="AJ136" s="616">
        <f t="shared" si="31"/>
        <v>0</v>
      </c>
      <c r="AK136" s="616">
        <f t="shared" si="31"/>
        <v>0</v>
      </c>
      <c r="AL136" s="616">
        <f t="shared" si="31"/>
        <v>0</v>
      </c>
      <c r="AM136" s="616">
        <f t="shared" si="31"/>
        <v>0</v>
      </c>
      <c r="AN136" s="563">
        <f>IF(S136=0,0,(AD136-S136)/S136*100)</f>
        <v>18.525704603823662</v>
      </c>
      <c r="AO136" s="563">
        <f>IF(AD136=0,0,(AE136-AD136)/AD136*100)</f>
        <v>6.7414975693767669</v>
      </c>
      <c r="AP136" s="563">
        <f>IF(AE136=0,0,(AF136-AE136)/AE136*100)</f>
        <v>2.6310153330095796</v>
      </c>
      <c r="AQ136" s="563">
        <f>IF(AF136=0,0,(AG136-AF136)/AF136*100)</f>
        <v>2.2523065347163231</v>
      </c>
      <c r="AR136" s="563">
        <f t="shared" ref="AR136:AW136" si="32">IF(AG136=0,0,(AH136-AG136)/AG136*100)</f>
        <v>7.1292240120497228</v>
      </c>
      <c r="AS136" s="563">
        <f t="shared" si="32"/>
        <v>-100</v>
      </c>
      <c r="AT136" s="563">
        <f t="shared" si="32"/>
        <v>0</v>
      </c>
      <c r="AU136" s="563">
        <f t="shared" si="32"/>
        <v>0</v>
      </c>
      <c r="AV136" s="563">
        <f t="shared" si="32"/>
        <v>0</v>
      </c>
      <c r="AW136" s="563">
        <f t="shared" si="32"/>
        <v>0</v>
      </c>
      <c r="AX136" s="565"/>
      <c r="AY136" s="565"/>
      <c r="AZ136" s="565"/>
    </row>
    <row r="137" spans="1:53" s="590" customFormat="1" ht="11.25" hidden="1" outlineLevel="1" x14ac:dyDescent="0.2">
      <c r="A137" s="557" t="str">
        <f t="shared" si="13"/>
        <v>1</v>
      </c>
      <c r="B137" s="537" t="s">
        <v>930</v>
      </c>
      <c r="C137" s="537"/>
      <c r="D137" s="537" t="s">
        <v>931</v>
      </c>
      <c r="L137" s="591" t="s">
        <v>932</v>
      </c>
      <c r="M137" s="608" t="s">
        <v>933</v>
      </c>
      <c r="N137" s="593" t="s">
        <v>19</v>
      </c>
      <c r="O137" s="618">
        <v>16.440000000000001</v>
      </c>
      <c r="P137" s="618">
        <v>18.595000000000002</v>
      </c>
      <c r="Q137" s="618">
        <v>18.595000000000002</v>
      </c>
      <c r="R137" s="618">
        <v>0</v>
      </c>
      <c r="S137" s="618">
        <v>16.440000000000001</v>
      </c>
      <c r="T137" s="618">
        <v>18.595000000000002</v>
      </c>
      <c r="U137" s="618">
        <v>18.595000000000002</v>
      </c>
      <c r="V137" s="618">
        <v>18.595000000000002</v>
      </c>
      <c r="W137" s="618">
        <v>18.595000000000002</v>
      </c>
      <c r="X137" s="618">
        <v>18.595000000000002</v>
      </c>
      <c r="Y137" s="618">
        <v>0</v>
      </c>
      <c r="Z137" s="618">
        <v>0</v>
      </c>
      <c r="AA137" s="618">
        <v>0</v>
      </c>
      <c r="AB137" s="618">
        <v>0</v>
      </c>
      <c r="AC137" s="618">
        <v>0</v>
      </c>
      <c r="AD137" s="618">
        <v>18.595000000000002</v>
      </c>
      <c r="AE137" s="618">
        <v>18.595000000000002</v>
      </c>
      <c r="AF137" s="618">
        <v>18.595000000000002</v>
      </c>
      <c r="AG137" s="618">
        <v>18.595000000000002</v>
      </c>
      <c r="AH137" s="618">
        <v>18.595000000000002</v>
      </c>
      <c r="AI137" s="618">
        <f>SUMIFS([12]Баланс!AH$16:AH$95,[12]Баланс!$A$16:$A$95,$A137,[12]Баланс!$B$16:$B$95,"население")</f>
        <v>0</v>
      </c>
      <c r="AJ137" s="618">
        <f>SUMIFS([12]Баланс!AI$16:AI$95,[12]Баланс!$A$16:$A$95,$A137,[12]Баланс!$B$16:$B$95,"население")</f>
        <v>0</v>
      </c>
      <c r="AK137" s="618">
        <f>SUMIFS([12]Баланс!AJ$16:AJ$95,[12]Баланс!$A$16:$A$95,$A137,[12]Баланс!$B$16:$B$95,"население")</f>
        <v>0</v>
      </c>
      <c r="AL137" s="618">
        <f>SUMIFS([12]Баланс!AK$16:AK$95,[12]Баланс!$A$16:$A$95,$A137,[12]Баланс!$B$16:$B$95,"население")</f>
        <v>0</v>
      </c>
      <c r="AM137" s="618">
        <f>SUMIFS([12]Баланс!AL$16:AL$95,[12]Баланс!$A$16:$A$95,$A137,[12]Баланс!$B$16:$B$95,"население")</f>
        <v>0</v>
      </c>
      <c r="AN137" s="576"/>
      <c r="AO137" s="576"/>
      <c r="AP137" s="576"/>
      <c r="AQ137" s="576"/>
      <c r="AR137" s="576"/>
      <c r="AS137" s="576"/>
      <c r="AT137" s="576"/>
      <c r="AU137" s="576"/>
      <c r="AV137" s="576"/>
      <c r="AW137" s="576"/>
      <c r="AX137" s="565"/>
      <c r="AY137" s="565"/>
      <c r="AZ137" s="565"/>
    </row>
    <row r="138" spans="1:53" ht="12.75" hidden="1" outlineLevel="1" x14ac:dyDescent="0.2">
      <c r="A138" s="557" t="str">
        <f t="shared" si="13"/>
        <v>1</v>
      </c>
      <c r="B138" s="537" t="s">
        <v>934</v>
      </c>
      <c r="D138" s="537" t="s">
        <v>935</v>
      </c>
      <c r="L138" s="621" t="s">
        <v>936</v>
      </c>
      <c r="M138" s="613" t="s">
        <v>937</v>
      </c>
      <c r="N138" s="622" t="s">
        <v>19</v>
      </c>
      <c r="O138" s="619">
        <v>8.2200000000000006</v>
      </c>
      <c r="P138" s="619">
        <v>9.2975000000000012</v>
      </c>
      <c r="Q138" s="619">
        <v>9.2975000000000012</v>
      </c>
      <c r="R138" s="572">
        <v>0</v>
      </c>
      <c r="S138" s="619">
        <v>8.2200000000000006</v>
      </c>
      <c r="T138" s="619">
        <v>9.2975000000000012</v>
      </c>
      <c r="U138" s="619">
        <v>9.2975000000000012</v>
      </c>
      <c r="V138" s="619">
        <v>9.2975000000000012</v>
      </c>
      <c r="W138" s="619">
        <v>9.2975000000000012</v>
      </c>
      <c r="X138" s="619">
        <v>9.2975000000000012</v>
      </c>
      <c r="Y138" s="619">
        <v>0</v>
      </c>
      <c r="Z138" s="619">
        <v>0</v>
      </c>
      <c r="AA138" s="619">
        <v>0</v>
      </c>
      <c r="AB138" s="619">
        <v>0</v>
      </c>
      <c r="AC138" s="619">
        <v>0</v>
      </c>
      <c r="AD138" s="619">
        <v>9.2975000000000012</v>
      </c>
      <c r="AE138" s="619">
        <v>9.2975000000000012</v>
      </c>
      <c r="AF138" s="619">
        <v>9.2975000000000012</v>
      </c>
      <c r="AG138" s="619">
        <v>9.2975000000000012</v>
      </c>
      <c r="AH138" s="619">
        <v>9.2975000000000012</v>
      </c>
      <c r="AI138" s="619">
        <f t="shared" ref="AI138:AM138" si="33">AI137/2</f>
        <v>0</v>
      </c>
      <c r="AJ138" s="619">
        <f t="shared" si="33"/>
        <v>0</v>
      </c>
      <c r="AK138" s="619">
        <f t="shared" si="33"/>
        <v>0</v>
      </c>
      <c r="AL138" s="619">
        <f t="shared" si="33"/>
        <v>0</v>
      </c>
      <c r="AM138" s="619">
        <f t="shared" si="33"/>
        <v>0</v>
      </c>
      <c r="AN138" s="574"/>
      <c r="AO138" s="574"/>
      <c r="AP138" s="574"/>
      <c r="AQ138" s="574"/>
      <c r="AR138" s="574"/>
      <c r="AS138" s="574"/>
      <c r="AT138" s="574"/>
      <c r="AU138" s="574"/>
      <c r="AV138" s="574"/>
      <c r="AW138" s="574"/>
      <c r="AX138" s="565"/>
      <c r="AY138" s="565"/>
      <c r="AZ138" s="565"/>
    </row>
    <row r="139" spans="1:53" ht="12.75" hidden="1" outlineLevel="1" x14ac:dyDescent="0.2">
      <c r="A139" s="557" t="str">
        <f t="shared" si="13"/>
        <v>1</v>
      </c>
      <c r="B139" s="537" t="s">
        <v>938</v>
      </c>
      <c r="D139" s="537" t="s">
        <v>939</v>
      </c>
      <c r="L139" s="621" t="s">
        <v>940</v>
      </c>
      <c r="M139" s="613" t="s">
        <v>941</v>
      </c>
      <c r="N139" s="622" t="s">
        <v>912</v>
      </c>
      <c r="O139" s="609">
        <v>167.23</v>
      </c>
      <c r="P139" s="609">
        <v>122.17</v>
      </c>
      <c r="Q139" s="609">
        <v>134.55000000000001</v>
      </c>
      <c r="R139" s="573">
        <v>12.38000000000001</v>
      </c>
      <c r="S139" s="609">
        <v>145.41999999999999</v>
      </c>
      <c r="T139" s="609">
        <v>288.70999999999998</v>
      </c>
      <c r="U139" s="609">
        <v>297.42</v>
      </c>
      <c r="V139" s="609">
        <v>301.89</v>
      </c>
      <c r="W139" s="609">
        <v>311.22000000000003</v>
      </c>
      <c r="X139" s="609">
        <v>320.89</v>
      </c>
      <c r="Y139" s="609">
        <v>0</v>
      </c>
      <c r="Z139" s="609">
        <v>0</v>
      </c>
      <c r="AA139" s="609">
        <v>0</v>
      </c>
      <c r="AB139" s="609">
        <v>0</v>
      </c>
      <c r="AC139" s="609">
        <v>0</v>
      </c>
      <c r="AD139" s="609">
        <v>152.70099999999999</v>
      </c>
      <c r="AE139" s="609">
        <v>167.34279177049689</v>
      </c>
      <c r="AF139" s="609">
        <v>174.26607029339235</v>
      </c>
      <c r="AG139" s="609">
        <v>176.33057331031739</v>
      </c>
      <c r="AH139" s="609">
        <v>182.17308140777479</v>
      </c>
      <c r="AI139" s="609">
        <f t="shared" ref="AI139:AM139" si="34">IF(AI137=0,0,AI131*IF(plat_nds="да",1.2,1) )</f>
        <v>0</v>
      </c>
      <c r="AJ139" s="609">
        <f t="shared" si="34"/>
        <v>0</v>
      </c>
      <c r="AK139" s="609">
        <f t="shared" si="34"/>
        <v>0</v>
      </c>
      <c r="AL139" s="609">
        <f t="shared" si="34"/>
        <v>0</v>
      </c>
      <c r="AM139" s="609">
        <f t="shared" si="34"/>
        <v>0</v>
      </c>
      <c r="AN139" s="574"/>
      <c r="AO139" s="574"/>
      <c r="AP139" s="574"/>
      <c r="AQ139" s="574"/>
      <c r="AR139" s="574"/>
      <c r="AS139" s="574"/>
      <c r="AT139" s="574"/>
      <c r="AU139" s="574"/>
      <c r="AV139" s="574"/>
      <c r="AW139" s="574"/>
      <c r="AX139" s="565"/>
      <c r="AY139" s="565"/>
      <c r="AZ139" s="565"/>
    </row>
    <row r="140" spans="1:53" ht="12.75" hidden="1" outlineLevel="1" x14ac:dyDescent="0.2">
      <c r="A140" s="557" t="str">
        <f t="shared" si="13"/>
        <v>1</v>
      </c>
      <c r="B140" s="537" t="s">
        <v>942</v>
      </c>
      <c r="D140" s="537" t="s">
        <v>943</v>
      </c>
      <c r="L140" s="621" t="s">
        <v>944</v>
      </c>
      <c r="M140" s="613" t="s">
        <v>945</v>
      </c>
      <c r="N140" s="622" t="s">
        <v>19</v>
      </c>
      <c r="O140" s="620">
        <v>8.2200000000000006</v>
      </c>
      <c r="P140" s="620">
        <v>9.2975000000000012</v>
      </c>
      <c r="Q140" s="620">
        <v>9.2975000000000012</v>
      </c>
      <c r="R140" s="572">
        <v>0</v>
      </c>
      <c r="S140" s="620">
        <v>8.2200000000000006</v>
      </c>
      <c r="T140" s="620">
        <v>9.2975000000000012</v>
      </c>
      <c r="U140" s="620">
        <v>9.2975000000000012</v>
      </c>
      <c r="V140" s="620">
        <v>9.2975000000000012</v>
      </c>
      <c r="W140" s="620">
        <v>9.2975000000000012</v>
      </c>
      <c r="X140" s="620">
        <v>9.2975000000000012</v>
      </c>
      <c r="Y140" s="620">
        <v>0</v>
      </c>
      <c r="Z140" s="620">
        <v>0</v>
      </c>
      <c r="AA140" s="620">
        <v>0</v>
      </c>
      <c r="AB140" s="620">
        <v>0</v>
      </c>
      <c r="AC140" s="620">
        <v>0</v>
      </c>
      <c r="AD140" s="620">
        <v>9.2975000000000012</v>
      </c>
      <c r="AE140" s="620">
        <v>9.2975000000000012</v>
      </c>
      <c r="AF140" s="620">
        <v>9.2975000000000012</v>
      </c>
      <c r="AG140" s="620">
        <v>9.2975000000000012</v>
      </c>
      <c r="AH140" s="620">
        <v>9.2975000000000012</v>
      </c>
      <c r="AI140" s="620">
        <f t="shared" ref="AI140:AM140" si="35">AI137-AI138</f>
        <v>0</v>
      </c>
      <c r="AJ140" s="620">
        <f t="shared" si="35"/>
        <v>0</v>
      </c>
      <c r="AK140" s="620">
        <f t="shared" si="35"/>
        <v>0</v>
      </c>
      <c r="AL140" s="620">
        <f t="shared" si="35"/>
        <v>0</v>
      </c>
      <c r="AM140" s="620">
        <f t="shared" si="35"/>
        <v>0</v>
      </c>
      <c r="AN140" s="574"/>
      <c r="AO140" s="574"/>
      <c r="AP140" s="574"/>
      <c r="AQ140" s="574"/>
      <c r="AR140" s="574"/>
      <c r="AS140" s="574"/>
      <c r="AT140" s="574"/>
      <c r="AU140" s="574"/>
      <c r="AV140" s="574"/>
      <c r="AW140" s="574"/>
      <c r="AX140" s="565"/>
      <c r="AY140" s="565"/>
      <c r="AZ140" s="565"/>
    </row>
    <row r="141" spans="1:53" ht="12.75" hidden="1" outlineLevel="1" x14ac:dyDescent="0.2">
      <c r="A141" s="557" t="str">
        <f t="shared" si="13"/>
        <v>1</v>
      </c>
      <c r="B141" s="537" t="s">
        <v>946</v>
      </c>
      <c r="D141" s="537" t="s">
        <v>947</v>
      </c>
      <c r="L141" s="621" t="s">
        <v>948</v>
      </c>
      <c r="M141" s="613" t="s">
        <v>949</v>
      </c>
      <c r="N141" s="622" t="s">
        <v>912</v>
      </c>
      <c r="O141" s="609">
        <v>167.23</v>
      </c>
      <c r="P141" s="609">
        <v>122.16824279895964</v>
      </c>
      <c r="Q141" s="609">
        <v>134.54619107580587</v>
      </c>
      <c r="R141" s="573">
        <v>12.377948276846226</v>
      </c>
      <c r="S141" s="609">
        <v>145.41999999999999</v>
      </c>
      <c r="T141" s="609">
        <v>288.70999999999998</v>
      </c>
      <c r="U141" s="609">
        <v>297.42287961983209</v>
      </c>
      <c r="V141" s="609">
        <v>301.89107021287737</v>
      </c>
      <c r="W141" s="609">
        <v>311.21487084706456</v>
      </c>
      <c r="X141" s="609">
        <v>320.89434348539686</v>
      </c>
      <c r="Y141" s="609">
        <v>0</v>
      </c>
      <c r="Z141" s="609">
        <v>0</v>
      </c>
      <c r="AA141" s="609">
        <v>0</v>
      </c>
      <c r="AB141" s="609">
        <v>0</v>
      </c>
      <c r="AC141" s="609">
        <v>0</v>
      </c>
      <c r="AD141" s="609">
        <v>167.34279177049689</v>
      </c>
      <c r="AE141" s="609">
        <v>174.26607029339235</v>
      </c>
      <c r="AF141" s="609">
        <v>176.33057331031739</v>
      </c>
      <c r="AG141" s="609">
        <v>182.18308140777478</v>
      </c>
      <c r="AH141" s="609">
        <v>201.87835337803418</v>
      </c>
      <c r="AI141" s="609">
        <f t="shared" ref="AI141:AM141" si="36">IF(AI137=0,0,AI133*IF(plat_nds="да",1.2,1) )</f>
        <v>0</v>
      </c>
      <c r="AJ141" s="609">
        <f t="shared" si="36"/>
        <v>0</v>
      </c>
      <c r="AK141" s="609">
        <f t="shared" si="36"/>
        <v>0</v>
      </c>
      <c r="AL141" s="609">
        <f t="shared" si="36"/>
        <v>0</v>
      </c>
      <c r="AM141" s="609">
        <f t="shared" si="36"/>
        <v>0</v>
      </c>
      <c r="AN141" s="574"/>
      <c r="AO141" s="574"/>
      <c r="AP141" s="574"/>
      <c r="AQ141" s="574"/>
      <c r="AR141" s="574"/>
      <c r="AS141" s="574"/>
      <c r="AT141" s="574"/>
      <c r="AU141" s="574"/>
      <c r="AV141" s="574"/>
      <c r="AW141" s="574"/>
      <c r="AX141" s="565"/>
      <c r="AY141" s="565"/>
      <c r="AZ141" s="565"/>
    </row>
    <row r="142" spans="1:53" s="554" customFormat="1" ht="11.25" collapsed="1" x14ac:dyDescent="0.15">
      <c r="A142" s="552" t="str">
        <f>'[12]Общие сведения'!$D$135</f>
        <v>2</v>
      </c>
      <c r="B142" s="553" t="str">
        <f>INDEX('[12]Общие сведения'!$N$121:$N$148,MATCH($A142,'[12]Общие сведения'!$D$121:$D$148,0))</f>
        <v>одноставочный</v>
      </c>
      <c r="D142" s="553" t="str">
        <f>INDEX('[12]Общие сведения'!$H$121:$H$148,MATCH($A142,'[12]Общие сведения'!$D$121:$D$148,0))</f>
        <v>Водоотведение</v>
      </c>
      <c r="L142" s="555" t="str">
        <f>INDEX('[12]Общие сведения'!$J$121:$J$148,MATCH($A142,'[12]Общие сведения'!$D$121:$D$148,0))</f>
        <v>Тариф 2 (Водоотведение) - тариф на водоотведение (Оказание услуг на территории: Среднетойменское (ОКТМО: 33610420) - д Средняя Тойма)</v>
      </c>
      <c r="M142" s="556"/>
      <c r="N142" s="556"/>
      <c r="O142" s="556"/>
      <c r="P142" s="556"/>
      <c r="Q142" s="556"/>
      <c r="R142" s="556"/>
      <c r="S142" s="556"/>
      <c r="T142" s="556"/>
      <c r="U142" s="556"/>
      <c r="V142" s="556"/>
      <c r="W142" s="556"/>
      <c r="X142" s="556"/>
      <c r="Y142" s="556"/>
      <c r="Z142" s="556"/>
      <c r="AA142" s="556"/>
      <c r="AB142" s="556"/>
      <c r="AC142" s="556"/>
      <c r="AD142" s="556"/>
      <c r="AE142" s="556"/>
      <c r="AF142" s="556"/>
      <c r="AG142" s="556"/>
      <c r="AH142" s="556"/>
      <c r="AI142" s="556"/>
      <c r="AJ142" s="556"/>
      <c r="AK142" s="556"/>
      <c r="AL142" s="556"/>
      <c r="AM142" s="556"/>
      <c r="AN142" s="556"/>
      <c r="AO142" s="556"/>
      <c r="AP142" s="556"/>
      <c r="AQ142" s="556"/>
      <c r="AR142" s="556"/>
      <c r="AS142" s="556"/>
      <c r="AT142" s="556"/>
      <c r="AU142" s="556"/>
      <c r="AV142" s="556"/>
      <c r="AW142" s="556"/>
      <c r="AX142" s="556"/>
      <c r="AY142" s="556"/>
      <c r="AZ142" s="556"/>
    </row>
    <row r="143" spans="1:53" s="558" customFormat="1" ht="11.25" outlineLevel="1" x14ac:dyDescent="0.2">
      <c r="A143" s="557" t="str">
        <f>A142</f>
        <v>2</v>
      </c>
      <c r="C143" s="559"/>
      <c r="D143" s="559" t="s">
        <v>576</v>
      </c>
      <c r="L143" s="560" t="s">
        <v>441</v>
      </c>
      <c r="M143" s="561" t="s">
        <v>30</v>
      </c>
      <c r="N143" s="562" t="s">
        <v>106</v>
      </c>
      <c r="O143" s="563">
        <v>464.12</v>
      </c>
      <c r="P143" s="563">
        <v>322.00349999999997</v>
      </c>
      <c r="Q143" s="563">
        <v>424.12</v>
      </c>
      <c r="R143" s="563">
        <v>102.11650000000003</v>
      </c>
      <c r="S143" s="563">
        <v>491.2</v>
      </c>
      <c r="T143" s="563">
        <v>767.5279829863199</v>
      </c>
      <c r="U143" s="564">
        <v>790.24681128271504</v>
      </c>
      <c r="V143" s="564">
        <v>813.63811689668341</v>
      </c>
      <c r="W143" s="564">
        <v>837.72180515682533</v>
      </c>
      <c r="X143" s="564">
        <v>862.51837058946739</v>
      </c>
      <c r="Y143" s="564">
        <v>862.51837058946739</v>
      </c>
      <c r="Z143" s="564">
        <v>862.51837058946739</v>
      </c>
      <c r="AA143" s="564">
        <v>862.51837058946739</v>
      </c>
      <c r="AB143" s="564">
        <v>862.51837058946739</v>
      </c>
      <c r="AC143" s="564">
        <v>862.51837058946739</v>
      </c>
      <c r="AD143" s="563">
        <v>402.30772496023371</v>
      </c>
      <c r="AE143" s="564">
        <v>415.41088756218846</v>
      </c>
      <c r="AF143" s="564">
        <v>427.71</v>
      </c>
      <c r="AG143" s="564">
        <v>440.36500000000001</v>
      </c>
      <c r="AH143" s="564">
        <v>453.4</v>
      </c>
      <c r="AI143" s="564" t="e">
        <f t="shared" ref="AI143:AM143" si="37">AH143*AI144</f>
        <v>#REF!</v>
      </c>
      <c r="AJ143" s="564" t="e">
        <f t="shared" si="37"/>
        <v>#REF!</v>
      </c>
      <c r="AK143" s="564" t="e">
        <f t="shared" si="37"/>
        <v>#REF!</v>
      </c>
      <c r="AL143" s="564" t="e">
        <f t="shared" si="37"/>
        <v>#REF!</v>
      </c>
      <c r="AM143" s="564" t="e">
        <f t="shared" si="37"/>
        <v>#REF!</v>
      </c>
      <c r="AN143" s="563">
        <f>IF(S143=0,0,(AD143-S143)/S143*100)</f>
        <v>-18.096961530897044</v>
      </c>
      <c r="AO143" s="563">
        <f t="shared" ref="AO143:AW143" si="38">IF(AD143=0,0,(AE143-AD143)/AD143*100)</f>
        <v>3.256999999999985</v>
      </c>
      <c r="AP143" s="563">
        <f t="shared" si="38"/>
        <v>2.9607101802237419</v>
      </c>
      <c r="AQ143" s="563">
        <f t="shared" si="38"/>
        <v>2.958780482102366</v>
      </c>
      <c r="AR143" s="563">
        <f t="shared" si="38"/>
        <v>2.960044508532687</v>
      </c>
      <c r="AS143" s="563" t="e">
        <f t="shared" si="38"/>
        <v>#REF!</v>
      </c>
      <c r="AT143" s="563" t="e">
        <f t="shared" si="38"/>
        <v>#REF!</v>
      </c>
      <c r="AU143" s="563" t="e">
        <f t="shared" si="38"/>
        <v>#REF!</v>
      </c>
      <c r="AV143" s="563" t="e">
        <f t="shared" si="38"/>
        <v>#REF!</v>
      </c>
      <c r="AW143" s="563" t="e">
        <f t="shared" si="38"/>
        <v>#REF!</v>
      </c>
      <c r="AX143" s="565"/>
      <c r="AY143" s="565"/>
      <c r="AZ143" s="565"/>
      <c r="BA143" s="566"/>
    </row>
    <row r="144" spans="1:53" ht="11.25" outlineLevel="1" x14ac:dyDescent="0.2">
      <c r="A144" s="557" t="str">
        <f t="shared" ref="A144:A207" si="39">A143</f>
        <v>2</v>
      </c>
      <c r="C144" s="567"/>
      <c r="D144" s="567" t="s">
        <v>577</v>
      </c>
      <c r="L144" s="568" t="s">
        <v>18</v>
      </c>
      <c r="M144" s="569" t="s">
        <v>578</v>
      </c>
      <c r="N144" s="570"/>
      <c r="O144" s="571"/>
      <c r="P144" s="571"/>
      <c r="Q144" s="571"/>
      <c r="R144" s="572">
        <v>0</v>
      </c>
      <c r="S144" s="571"/>
      <c r="T144" s="571"/>
      <c r="U144" s="571">
        <v>1.0296000000000001</v>
      </c>
      <c r="V144" s="571">
        <v>1.0296000000000001</v>
      </c>
      <c r="W144" s="571">
        <v>1.0296000000000001</v>
      </c>
      <c r="X144" s="571">
        <v>1.0296000000000001</v>
      </c>
      <c r="Y144" s="571">
        <v>1</v>
      </c>
      <c r="Z144" s="571">
        <v>1</v>
      </c>
      <c r="AA144" s="571">
        <v>1</v>
      </c>
      <c r="AB144" s="571">
        <v>1</v>
      </c>
      <c r="AC144" s="571">
        <v>1</v>
      </c>
      <c r="AD144" s="571"/>
      <c r="AE144" s="571">
        <v>1.032567793822655</v>
      </c>
      <c r="AF144" s="571">
        <v>1.0296071018022375</v>
      </c>
      <c r="AG144" s="571">
        <v>1.0295994949849196</v>
      </c>
      <c r="AH144" s="571">
        <v>1.0296004450853269</v>
      </c>
      <c r="AI144" s="571" t="e">
        <f>SUMIFS(INDEX([12]Сценарии!$O$15:$AP$53,,MATCH(AI$3,[12]Сценарии!$O$3:$AP$3,0)),[12]Сценарии!$A$15:$A$53,$A144,[12]Сценарии!$B$15:$B$53,"ИОР")</f>
        <v>#REF!</v>
      </c>
      <c r="AJ144" s="571" t="e">
        <f>SUMIFS(INDEX([12]Сценарии!$O$15:$AP$53,,MATCH(AJ$3,[12]Сценарии!$O$3:$AP$3,0)),[12]Сценарии!$A$15:$A$53,$A144,[12]Сценарии!$B$15:$B$53,"ИОР")</f>
        <v>#REF!</v>
      </c>
      <c r="AK144" s="571" t="e">
        <f>SUMIFS(INDEX([12]Сценарии!$O$15:$AP$53,,MATCH(AK$3,[12]Сценарии!$O$3:$AP$3,0)),[12]Сценарии!$A$15:$A$53,$A144,[12]Сценарии!$B$15:$B$53,"ИОР")</f>
        <v>#REF!</v>
      </c>
      <c r="AL144" s="571" t="e">
        <f>SUMIFS(INDEX([12]Сценарии!$O$15:$AP$53,,MATCH(AL$3,[12]Сценарии!$O$3:$AP$3,0)),[12]Сценарии!$A$15:$A$53,$A144,[12]Сценарии!$B$15:$B$53,"ИОР")</f>
        <v>#REF!</v>
      </c>
      <c r="AM144" s="571" t="e">
        <f>SUMIFS(INDEX([12]Сценарии!$O$15:$AP$53,,MATCH(AM$3,[12]Сценарии!$O$3:$AP$3,0)),[12]Сценарии!$A$15:$A$53,$A144,[12]Сценарии!$B$15:$B$53,"ИОР")</f>
        <v>#REF!</v>
      </c>
      <c r="AN144" s="573">
        <f>IF(S144=0,0,(AD144-S144)/S144*100)</f>
        <v>0</v>
      </c>
      <c r="AO144" s="574"/>
      <c r="AP144" s="574"/>
      <c r="AQ144" s="574"/>
      <c r="AR144" s="574"/>
      <c r="AS144" s="574"/>
      <c r="AT144" s="574"/>
      <c r="AU144" s="574"/>
      <c r="AV144" s="574"/>
      <c r="AW144" s="574"/>
      <c r="AX144" s="565"/>
      <c r="AY144" s="565"/>
      <c r="AZ144" s="565"/>
    </row>
    <row r="145" spans="1:53" s="566" customFormat="1" ht="11.25" outlineLevel="1" x14ac:dyDescent="0.2">
      <c r="A145" s="557" t="str">
        <f t="shared" si="39"/>
        <v>2</v>
      </c>
      <c r="C145" s="559"/>
      <c r="D145" s="559" t="s">
        <v>579</v>
      </c>
      <c r="L145" s="560" t="s">
        <v>20</v>
      </c>
      <c r="M145" s="575" t="s">
        <v>580</v>
      </c>
      <c r="N145" s="562" t="s">
        <v>106</v>
      </c>
      <c r="O145" s="563">
        <v>464</v>
      </c>
      <c r="P145" s="563">
        <v>247.92283999999998</v>
      </c>
      <c r="Q145" s="563">
        <v>424.12</v>
      </c>
      <c r="R145" s="563">
        <v>176.19716000000003</v>
      </c>
      <c r="S145" s="563">
        <v>491.07</v>
      </c>
      <c r="T145" s="563">
        <v>528.41995359711996</v>
      </c>
      <c r="U145" s="576"/>
      <c r="V145" s="576"/>
      <c r="W145" s="576"/>
      <c r="X145" s="576"/>
      <c r="Y145" s="576"/>
      <c r="Z145" s="576"/>
      <c r="AA145" s="576"/>
      <c r="AB145" s="576"/>
      <c r="AC145" s="576"/>
      <c r="AD145" s="563">
        <v>315.30523863902442</v>
      </c>
      <c r="AE145" s="576"/>
      <c r="AF145" s="576"/>
      <c r="AG145" s="576"/>
      <c r="AH145" s="576"/>
      <c r="AI145" s="576"/>
      <c r="AJ145" s="576"/>
      <c r="AK145" s="576"/>
      <c r="AL145" s="576"/>
      <c r="AM145" s="576"/>
      <c r="AN145" s="563">
        <f>IF(S145=0,0,(AD145-S145)/S145*100)</f>
        <v>-35.79220098172879</v>
      </c>
      <c r="AO145" s="576"/>
      <c r="AP145" s="576"/>
      <c r="AQ145" s="576"/>
      <c r="AR145" s="576"/>
      <c r="AS145" s="576"/>
      <c r="AT145" s="576"/>
      <c r="AU145" s="576"/>
      <c r="AV145" s="576"/>
      <c r="AW145" s="576"/>
      <c r="AX145" s="577"/>
      <c r="AY145" s="577"/>
      <c r="AZ145" s="577"/>
    </row>
    <row r="146" spans="1:53" ht="11.25" hidden="1" outlineLevel="1" x14ac:dyDescent="0.2">
      <c r="A146" s="557" t="str">
        <f t="shared" si="39"/>
        <v>2</v>
      </c>
      <c r="C146" s="567"/>
      <c r="D146" s="567" t="s">
        <v>581</v>
      </c>
      <c r="L146" s="568" t="s">
        <v>399</v>
      </c>
      <c r="M146" s="578" t="s">
        <v>582</v>
      </c>
      <c r="N146" s="579" t="s">
        <v>106</v>
      </c>
      <c r="O146" s="573">
        <v>0</v>
      </c>
      <c r="P146" s="573">
        <v>0</v>
      </c>
      <c r="Q146" s="573">
        <v>0</v>
      </c>
      <c r="R146" s="573">
        <v>0</v>
      </c>
      <c r="S146" s="573">
        <v>0</v>
      </c>
      <c r="T146" s="573">
        <v>0</v>
      </c>
      <c r="U146" s="574"/>
      <c r="V146" s="574"/>
      <c r="W146" s="574"/>
      <c r="X146" s="574"/>
      <c r="Y146" s="574"/>
      <c r="Z146" s="574"/>
      <c r="AA146" s="574"/>
      <c r="AB146" s="574"/>
      <c r="AC146" s="574"/>
      <c r="AD146" s="573">
        <v>0</v>
      </c>
      <c r="AE146" s="574"/>
      <c r="AF146" s="574"/>
      <c r="AG146" s="574"/>
      <c r="AH146" s="574"/>
      <c r="AI146" s="574"/>
      <c r="AJ146" s="574"/>
      <c r="AK146" s="574"/>
      <c r="AL146" s="574"/>
      <c r="AM146" s="574"/>
      <c r="AN146" s="573">
        <f t="shared" ref="AN146:AN216" si="40">IF(S146=0,0,(AD146-S146)/S146*100)</f>
        <v>0</v>
      </c>
      <c r="AO146" s="574"/>
      <c r="AP146" s="574"/>
      <c r="AQ146" s="574"/>
      <c r="AR146" s="574"/>
      <c r="AS146" s="574"/>
      <c r="AT146" s="574"/>
      <c r="AU146" s="574"/>
      <c r="AV146" s="574"/>
      <c r="AW146" s="574"/>
      <c r="AX146" s="565"/>
      <c r="AY146" s="565"/>
      <c r="AZ146" s="565"/>
      <c r="BA146" s="580"/>
    </row>
    <row r="147" spans="1:53" ht="12.75" hidden="1" outlineLevel="1" x14ac:dyDescent="0.2">
      <c r="A147" s="557" t="str">
        <f t="shared" si="39"/>
        <v>2</v>
      </c>
      <c r="C147" s="567"/>
      <c r="D147" s="567" t="s">
        <v>583</v>
      </c>
      <c r="L147" s="568" t="s">
        <v>584</v>
      </c>
      <c r="M147" s="581" t="s">
        <v>585</v>
      </c>
      <c r="N147" s="582" t="s">
        <v>106</v>
      </c>
      <c r="O147" s="583"/>
      <c r="P147" s="583"/>
      <c r="Q147" s="583"/>
      <c r="R147" s="573">
        <v>0</v>
      </c>
      <c r="S147" s="583"/>
      <c r="T147" s="583"/>
      <c r="U147" s="574"/>
      <c r="V147" s="574"/>
      <c r="W147" s="574"/>
      <c r="X147" s="574"/>
      <c r="Y147" s="574"/>
      <c r="Z147" s="574"/>
      <c r="AA147" s="574"/>
      <c r="AB147" s="574"/>
      <c r="AC147" s="574"/>
      <c r="AD147" s="583"/>
      <c r="AE147" s="574"/>
      <c r="AF147" s="574"/>
      <c r="AG147" s="574"/>
      <c r="AH147" s="574"/>
      <c r="AI147" s="574"/>
      <c r="AJ147" s="574"/>
      <c r="AK147" s="574"/>
      <c r="AL147" s="574"/>
      <c r="AM147" s="574"/>
      <c r="AN147" s="573">
        <f t="shared" si="40"/>
        <v>0</v>
      </c>
      <c r="AO147" s="574"/>
      <c r="AP147" s="574"/>
      <c r="AQ147" s="574"/>
      <c r="AR147" s="574"/>
      <c r="AS147" s="574"/>
      <c r="AT147" s="574"/>
      <c r="AU147" s="574"/>
      <c r="AV147" s="574"/>
      <c r="AW147" s="574"/>
      <c r="AX147" s="565"/>
      <c r="AY147" s="565"/>
      <c r="AZ147" s="565"/>
    </row>
    <row r="148" spans="1:53" ht="12.75" hidden="1" outlineLevel="1" x14ac:dyDescent="0.2">
      <c r="A148" s="557" t="str">
        <f t="shared" si="39"/>
        <v>2</v>
      </c>
      <c r="C148" s="567"/>
      <c r="D148" s="567" t="s">
        <v>586</v>
      </c>
      <c r="L148" s="568" t="s">
        <v>587</v>
      </c>
      <c r="M148" s="584" t="s">
        <v>588</v>
      </c>
      <c r="N148" s="582" t="s">
        <v>106</v>
      </c>
      <c r="O148" s="583"/>
      <c r="P148" s="583"/>
      <c r="Q148" s="583"/>
      <c r="R148" s="573">
        <v>0</v>
      </c>
      <c r="S148" s="583"/>
      <c r="T148" s="583"/>
      <c r="U148" s="574"/>
      <c r="V148" s="574"/>
      <c r="W148" s="574"/>
      <c r="X148" s="574"/>
      <c r="Y148" s="574"/>
      <c r="Z148" s="574"/>
      <c r="AA148" s="574"/>
      <c r="AB148" s="574"/>
      <c r="AC148" s="574"/>
      <c r="AD148" s="583"/>
      <c r="AE148" s="574"/>
      <c r="AF148" s="574"/>
      <c r="AG148" s="574"/>
      <c r="AH148" s="574"/>
      <c r="AI148" s="574"/>
      <c r="AJ148" s="574"/>
      <c r="AK148" s="574"/>
      <c r="AL148" s="574"/>
      <c r="AM148" s="574"/>
      <c r="AN148" s="573">
        <f t="shared" si="40"/>
        <v>0</v>
      </c>
      <c r="AO148" s="574"/>
      <c r="AP148" s="574"/>
      <c r="AQ148" s="574"/>
      <c r="AR148" s="574"/>
      <c r="AS148" s="574"/>
      <c r="AT148" s="574"/>
      <c r="AU148" s="574"/>
      <c r="AV148" s="574"/>
      <c r="AW148" s="574"/>
      <c r="AX148" s="565"/>
      <c r="AY148" s="565"/>
      <c r="AZ148" s="565"/>
    </row>
    <row r="149" spans="1:53" ht="22.5" hidden="1" outlineLevel="1" x14ac:dyDescent="0.2">
      <c r="A149" s="557" t="str">
        <f t="shared" si="39"/>
        <v>2</v>
      </c>
      <c r="C149" s="567"/>
      <c r="D149" s="567" t="s">
        <v>589</v>
      </c>
      <c r="L149" s="568" t="s">
        <v>401</v>
      </c>
      <c r="M149" s="578" t="s">
        <v>590</v>
      </c>
      <c r="N149" s="579" t="s">
        <v>106</v>
      </c>
      <c r="O149" s="583"/>
      <c r="P149" s="583"/>
      <c r="Q149" s="583"/>
      <c r="R149" s="573">
        <v>0</v>
      </c>
      <c r="S149" s="583"/>
      <c r="T149" s="583"/>
      <c r="U149" s="574"/>
      <c r="V149" s="574"/>
      <c r="W149" s="574"/>
      <c r="X149" s="574"/>
      <c r="Y149" s="574"/>
      <c r="Z149" s="574"/>
      <c r="AA149" s="574"/>
      <c r="AB149" s="574"/>
      <c r="AC149" s="574"/>
      <c r="AD149" s="583"/>
      <c r="AE149" s="574"/>
      <c r="AF149" s="574"/>
      <c r="AG149" s="574"/>
      <c r="AH149" s="574"/>
      <c r="AI149" s="574"/>
      <c r="AJ149" s="574"/>
      <c r="AK149" s="574"/>
      <c r="AL149" s="574"/>
      <c r="AM149" s="574"/>
      <c r="AN149" s="573">
        <f t="shared" si="40"/>
        <v>0</v>
      </c>
      <c r="AO149" s="574"/>
      <c r="AP149" s="574"/>
      <c r="AQ149" s="574"/>
      <c r="AR149" s="574"/>
      <c r="AS149" s="574"/>
      <c r="AT149" s="574"/>
      <c r="AU149" s="574"/>
      <c r="AV149" s="574"/>
      <c r="AW149" s="574"/>
      <c r="AX149" s="565"/>
      <c r="AY149" s="565"/>
      <c r="AZ149" s="565"/>
    </row>
    <row r="150" spans="1:53" ht="22.5" outlineLevel="1" x14ac:dyDescent="0.2">
      <c r="A150" s="557" t="str">
        <f t="shared" si="39"/>
        <v>2</v>
      </c>
      <c r="C150" s="567"/>
      <c r="D150" s="567" t="s">
        <v>591</v>
      </c>
      <c r="L150" s="568" t="s">
        <v>592</v>
      </c>
      <c r="M150" s="578" t="s">
        <v>593</v>
      </c>
      <c r="N150" s="582" t="s">
        <v>106</v>
      </c>
      <c r="O150" s="585">
        <v>0</v>
      </c>
      <c r="P150" s="585">
        <v>245.32283999999999</v>
      </c>
      <c r="Q150" s="585">
        <v>0</v>
      </c>
      <c r="R150" s="573">
        <v>-245.32283999999999</v>
      </c>
      <c r="S150" s="585">
        <v>0</v>
      </c>
      <c r="T150" s="585">
        <v>518.72895359711993</v>
      </c>
      <c r="U150" s="574"/>
      <c r="V150" s="574"/>
      <c r="W150" s="574"/>
      <c r="X150" s="574"/>
      <c r="Y150" s="574"/>
      <c r="Z150" s="574"/>
      <c r="AA150" s="574"/>
      <c r="AB150" s="574"/>
      <c r="AC150" s="574"/>
      <c r="AD150" s="585">
        <v>306.61390863902443</v>
      </c>
      <c r="AE150" s="574"/>
      <c r="AF150" s="574"/>
      <c r="AG150" s="574"/>
      <c r="AH150" s="574"/>
      <c r="AI150" s="574"/>
      <c r="AJ150" s="574"/>
      <c r="AK150" s="574"/>
      <c r="AL150" s="574"/>
      <c r="AM150" s="574"/>
      <c r="AN150" s="573">
        <f>IF(S150=0,0,(AD150-S150)/S150*100)</f>
        <v>0</v>
      </c>
      <c r="AO150" s="574"/>
      <c r="AP150" s="574"/>
      <c r="AQ150" s="574"/>
      <c r="AR150" s="574"/>
      <c r="AS150" s="574"/>
      <c r="AT150" s="574"/>
      <c r="AU150" s="574"/>
      <c r="AV150" s="574"/>
      <c r="AW150" s="574"/>
      <c r="AX150" s="565"/>
      <c r="AY150" s="565"/>
      <c r="AZ150" s="565"/>
    </row>
    <row r="151" spans="1:53" ht="12.75" outlineLevel="1" x14ac:dyDescent="0.2">
      <c r="A151" s="557" t="str">
        <f t="shared" si="39"/>
        <v>2</v>
      </c>
      <c r="B151" s="586" t="s">
        <v>594</v>
      </c>
      <c r="C151" s="567"/>
      <c r="D151" s="567" t="s">
        <v>595</v>
      </c>
      <c r="L151" s="568" t="s">
        <v>596</v>
      </c>
      <c r="M151" s="581" t="s">
        <v>597</v>
      </c>
      <c r="N151" s="579" t="s">
        <v>106</v>
      </c>
      <c r="O151" s="587">
        <v>0</v>
      </c>
      <c r="P151" s="587">
        <v>188.42</v>
      </c>
      <c r="Q151" s="587">
        <v>0</v>
      </c>
      <c r="R151" s="573">
        <v>-188.42</v>
      </c>
      <c r="S151" s="587">
        <v>0</v>
      </c>
      <c r="T151" s="587">
        <v>398.40933455999999</v>
      </c>
      <c r="U151" s="574"/>
      <c r="V151" s="574"/>
      <c r="W151" s="574"/>
      <c r="X151" s="574"/>
      <c r="Y151" s="574"/>
      <c r="Z151" s="574"/>
      <c r="AA151" s="574"/>
      <c r="AB151" s="574"/>
      <c r="AC151" s="574"/>
      <c r="AD151" s="587">
        <v>235.49455348619387</v>
      </c>
      <c r="AE151" s="574"/>
      <c r="AF151" s="574"/>
      <c r="AG151" s="574"/>
      <c r="AH151" s="574"/>
      <c r="AI151" s="574"/>
      <c r="AJ151" s="574"/>
      <c r="AK151" s="574"/>
      <c r="AL151" s="574"/>
      <c r="AM151" s="574"/>
      <c r="AN151" s="573">
        <f>IF(S151=0,0,(AD151-S151)/S151*100)</f>
        <v>0</v>
      </c>
      <c r="AO151" s="574"/>
      <c r="AP151" s="574"/>
      <c r="AQ151" s="574"/>
      <c r="AR151" s="574"/>
      <c r="AS151" s="574"/>
      <c r="AT151" s="574"/>
      <c r="AU151" s="574"/>
      <c r="AV151" s="574"/>
      <c r="AW151" s="574"/>
      <c r="AX151" s="565"/>
      <c r="AY151" s="565"/>
      <c r="AZ151" s="565"/>
    </row>
    <row r="152" spans="1:53" ht="25.5" outlineLevel="1" x14ac:dyDescent="0.2">
      <c r="A152" s="557" t="str">
        <f t="shared" si="39"/>
        <v>2</v>
      </c>
      <c r="B152" s="586" t="s">
        <v>598</v>
      </c>
      <c r="C152" s="567"/>
      <c r="D152" s="567" t="s">
        <v>599</v>
      </c>
      <c r="L152" s="568" t="s">
        <v>600</v>
      </c>
      <c r="M152" s="581" t="s">
        <v>601</v>
      </c>
      <c r="N152" s="582" t="s">
        <v>106</v>
      </c>
      <c r="O152" s="587">
        <v>0</v>
      </c>
      <c r="P152" s="587">
        <v>56.902839999999998</v>
      </c>
      <c r="Q152" s="587">
        <v>0</v>
      </c>
      <c r="R152" s="573">
        <v>-56.902839999999998</v>
      </c>
      <c r="S152" s="587">
        <v>0</v>
      </c>
      <c r="T152" s="587">
        <v>120.31961903711999</v>
      </c>
      <c r="U152" s="574"/>
      <c r="V152" s="574"/>
      <c r="W152" s="574"/>
      <c r="X152" s="574"/>
      <c r="Y152" s="574"/>
      <c r="Z152" s="574"/>
      <c r="AA152" s="574"/>
      <c r="AB152" s="574"/>
      <c r="AC152" s="574"/>
      <c r="AD152" s="587">
        <v>71.119355152830551</v>
      </c>
      <c r="AE152" s="574"/>
      <c r="AF152" s="574"/>
      <c r="AG152" s="574"/>
      <c r="AH152" s="574"/>
      <c r="AI152" s="574"/>
      <c r="AJ152" s="574"/>
      <c r="AK152" s="574"/>
      <c r="AL152" s="574"/>
      <c r="AM152" s="574"/>
      <c r="AN152" s="573">
        <f>IF(S152=0,0,(AD152-S152)/S152*100)</f>
        <v>0</v>
      </c>
      <c r="AO152" s="574"/>
      <c r="AP152" s="574"/>
      <c r="AQ152" s="574"/>
      <c r="AR152" s="574"/>
      <c r="AS152" s="574"/>
      <c r="AT152" s="574"/>
      <c r="AU152" s="574"/>
      <c r="AV152" s="574"/>
      <c r="AW152" s="574"/>
      <c r="AX152" s="565"/>
      <c r="AY152" s="565"/>
      <c r="AZ152" s="565"/>
    </row>
    <row r="153" spans="1:53" ht="11.25" outlineLevel="1" x14ac:dyDescent="0.2">
      <c r="A153" s="557" t="str">
        <f t="shared" si="39"/>
        <v>2</v>
      </c>
      <c r="C153" s="567"/>
      <c r="D153" s="567" t="s">
        <v>602</v>
      </c>
      <c r="L153" s="568" t="s">
        <v>603</v>
      </c>
      <c r="M153" s="578" t="s">
        <v>604</v>
      </c>
      <c r="N153" s="579" t="s">
        <v>106</v>
      </c>
      <c r="O153" s="583"/>
      <c r="P153" s="583"/>
      <c r="Q153" s="583"/>
      <c r="R153" s="573">
        <v>0</v>
      </c>
      <c r="S153" s="583"/>
      <c r="T153" s="583"/>
      <c r="U153" s="574"/>
      <c r="V153" s="574"/>
      <c r="W153" s="574"/>
      <c r="X153" s="574"/>
      <c r="Y153" s="574"/>
      <c r="Z153" s="574"/>
      <c r="AA153" s="574"/>
      <c r="AB153" s="574"/>
      <c r="AC153" s="574"/>
      <c r="AD153" s="583"/>
      <c r="AE153" s="574"/>
      <c r="AF153" s="574"/>
      <c r="AG153" s="574"/>
      <c r="AH153" s="574"/>
      <c r="AI153" s="574"/>
      <c r="AJ153" s="574"/>
      <c r="AK153" s="574"/>
      <c r="AL153" s="574"/>
      <c r="AM153" s="574"/>
      <c r="AN153" s="573">
        <f t="shared" si="40"/>
        <v>0</v>
      </c>
      <c r="AO153" s="574"/>
      <c r="AP153" s="574"/>
      <c r="AQ153" s="574"/>
      <c r="AR153" s="574"/>
      <c r="AS153" s="574"/>
      <c r="AT153" s="574"/>
      <c r="AU153" s="574"/>
      <c r="AV153" s="574"/>
      <c r="AW153" s="574"/>
      <c r="AX153" s="565"/>
      <c r="AY153" s="565"/>
      <c r="AZ153" s="565"/>
    </row>
    <row r="154" spans="1:53" ht="12.75" outlineLevel="1" x14ac:dyDescent="0.2">
      <c r="A154" s="557" t="str">
        <f t="shared" si="39"/>
        <v>2</v>
      </c>
      <c r="C154" s="567"/>
      <c r="D154" s="567" t="s">
        <v>605</v>
      </c>
      <c r="L154" s="568" t="s">
        <v>606</v>
      </c>
      <c r="M154" s="588" t="s">
        <v>607</v>
      </c>
      <c r="N154" s="570" t="s">
        <v>106</v>
      </c>
      <c r="O154" s="585">
        <v>464</v>
      </c>
      <c r="P154" s="585">
        <v>2.5999999999999996</v>
      </c>
      <c r="Q154" s="585">
        <v>424.12</v>
      </c>
      <c r="R154" s="573">
        <v>421.52</v>
      </c>
      <c r="S154" s="585">
        <v>491.07</v>
      </c>
      <c r="T154" s="585">
        <v>9.6910000000000007</v>
      </c>
      <c r="U154" s="574"/>
      <c r="V154" s="574"/>
      <c r="W154" s="574"/>
      <c r="X154" s="574"/>
      <c r="Y154" s="574"/>
      <c r="Z154" s="574"/>
      <c r="AA154" s="574"/>
      <c r="AB154" s="574"/>
      <c r="AC154" s="574"/>
      <c r="AD154" s="585">
        <v>8.6913300000000007</v>
      </c>
      <c r="AE154" s="574"/>
      <c r="AF154" s="574"/>
      <c r="AG154" s="574"/>
      <c r="AH154" s="574"/>
      <c r="AI154" s="574"/>
      <c r="AJ154" s="574"/>
      <c r="AK154" s="574"/>
      <c r="AL154" s="574"/>
      <c r="AM154" s="574"/>
      <c r="AN154" s="573">
        <f t="shared" si="40"/>
        <v>-98.230124014906224</v>
      </c>
      <c r="AO154" s="574"/>
      <c r="AP154" s="574"/>
      <c r="AQ154" s="574"/>
      <c r="AR154" s="574"/>
      <c r="AS154" s="574"/>
      <c r="AT154" s="574"/>
      <c r="AU154" s="574"/>
      <c r="AV154" s="574"/>
      <c r="AW154" s="574"/>
      <c r="AX154" s="565"/>
      <c r="AY154" s="565"/>
      <c r="AZ154" s="565"/>
    </row>
    <row r="155" spans="1:53" ht="11.25" outlineLevel="1" x14ac:dyDescent="0.2">
      <c r="A155" s="557" t="str">
        <f t="shared" si="39"/>
        <v>2</v>
      </c>
      <c r="C155" s="567"/>
      <c r="D155" s="567" t="s">
        <v>608</v>
      </c>
      <c r="L155" s="568" t="s">
        <v>609</v>
      </c>
      <c r="M155" s="584" t="s">
        <v>610</v>
      </c>
      <c r="N155" s="570" t="s">
        <v>106</v>
      </c>
      <c r="O155" s="583"/>
      <c r="P155" s="583"/>
      <c r="Q155" s="583"/>
      <c r="R155" s="573">
        <v>0</v>
      </c>
      <c r="S155" s="583"/>
      <c r="T155" s="583"/>
      <c r="U155" s="574"/>
      <c r="V155" s="574"/>
      <c r="W155" s="574"/>
      <c r="X155" s="574"/>
      <c r="Y155" s="574"/>
      <c r="Z155" s="574"/>
      <c r="AA155" s="574"/>
      <c r="AB155" s="574"/>
      <c r="AC155" s="574"/>
      <c r="AD155" s="583"/>
      <c r="AE155" s="574"/>
      <c r="AF155" s="574"/>
      <c r="AG155" s="574"/>
      <c r="AH155" s="574"/>
      <c r="AI155" s="574"/>
      <c r="AJ155" s="574"/>
      <c r="AK155" s="574"/>
      <c r="AL155" s="574"/>
      <c r="AM155" s="574"/>
      <c r="AN155" s="573">
        <f t="shared" si="40"/>
        <v>0</v>
      </c>
      <c r="AO155" s="574"/>
      <c r="AP155" s="574"/>
      <c r="AQ155" s="574"/>
      <c r="AR155" s="574"/>
      <c r="AS155" s="574"/>
      <c r="AT155" s="574"/>
      <c r="AU155" s="574"/>
      <c r="AV155" s="574"/>
      <c r="AW155" s="574"/>
      <c r="AX155" s="565"/>
      <c r="AY155" s="565"/>
      <c r="AZ155" s="565"/>
    </row>
    <row r="156" spans="1:53" ht="22.5" hidden="1" outlineLevel="1" x14ac:dyDescent="0.2">
      <c r="A156" s="557" t="str">
        <f t="shared" si="39"/>
        <v>2</v>
      </c>
      <c r="C156" s="567"/>
      <c r="D156" s="567" t="s">
        <v>611</v>
      </c>
      <c r="L156" s="568" t="s">
        <v>612</v>
      </c>
      <c r="M156" s="584" t="s">
        <v>613</v>
      </c>
      <c r="N156" s="570" t="s">
        <v>106</v>
      </c>
      <c r="O156" s="583"/>
      <c r="P156" s="583"/>
      <c r="Q156" s="583"/>
      <c r="R156" s="573">
        <v>0</v>
      </c>
      <c r="S156" s="583"/>
      <c r="T156" s="583"/>
      <c r="U156" s="574"/>
      <c r="V156" s="574"/>
      <c r="W156" s="574"/>
      <c r="X156" s="574"/>
      <c r="Y156" s="574"/>
      <c r="Z156" s="574"/>
      <c r="AA156" s="574"/>
      <c r="AB156" s="574"/>
      <c r="AC156" s="574"/>
      <c r="AD156" s="583"/>
      <c r="AE156" s="574"/>
      <c r="AF156" s="574"/>
      <c r="AG156" s="574"/>
      <c r="AH156" s="574"/>
      <c r="AI156" s="574"/>
      <c r="AJ156" s="574"/>
      <c r="AK156" s="574"/>
      <c r="AL156" s="574"/>
      <c r="AM156" s="574"/>
      <c r="AN156" s="573">
        <f t="shared" si="40"/>
        <v>0</v>
      </c>
      <c r="AO156" s="574"/>
      <c r="AP156" s="574"/>
      <c r="AQ156" s="574"/>
      <c r="AR156" s="574"/>
      <c r="AS156" s="574"/>
      <c r="AT156" s="574"/>
      <c r="AU156" s="574"/>
      <c r="AV156" s="574"/>
      <c r="AW156" s="574"/>
      <c r="AX156" s="565"/>
      <c r="AY156" s="565"/>
      <c r="AZ156" s="565"/>
    </row>
    <row r="157" spans="1:53" ht="22.5" hidden="1" outlineLevel="1" x14ac:dyDescent="0.2">
      <c r="A157" s="557" t="str">
        <f t="shared" si="39"/>
        <v>2</v>
      </c>
      <c r="C157" s="567"/>
      <c r="D157" s="567" t="s">
        <v>614</v>
      </c>
      <c r="L157" s="568" t="s">
        <v>615</v>
      </c>
      <c r="M157" s="589" t="s">
        <v>616</v>
      </c>
      <c r="N157" s="570" t="s">
        <v>106</v>
      </c>
      <c r="O157" s="583"/>
      <c r="P157" s="583"/>
      <c r="Q157" s="583"/>
      <c r="R157" s="573">
        <v>0</v>
      </c>
      <c r="S157" s="583"/>
      <c r="T157" s="583"/>
      <c r="U157" s="574"/>
      <c r="V157" s="574"/>
      <c r="W157" s="574"/>
      <c r="X157" s="574"/>
      <c r="Y157" s="574"/>
      <c r="Z157" s="574"/>
      <c r="AA157" s="574"/>
      <c r="AB157" s="574"/>
      <c r="AC157" s="574"/>
      <c r="AD157" s="583"/>
      <c r="AE157" s="574"/>
      <c r="AF157" s="574"/>
      <c r="AG157" s="574"/>
      <c r="AH157" s="574"/>
      <c r="AI157" s="574"/>
      <c r="AJ157" s="574"/>
      <c r="AK157" s="574"/>
      <c r="AL157" s="574"/>
      <c r="AM157" s="574"/>
      <c r="AN157" s="573">
        <f t="shared" si="40"/>
        <v>0</v>
      </c>
      <c r="AO157" s="574"/>
      <c r="AP157" s="574"/>
      <c r="AQ157" s="574"/>
      <c r="AR157" s="574"/>
      <c r="AS157" s="574"/>
      <c r="AT157" s="574"/>
      <c r="AU157" s="574"/>
      <c r="AV157" s="574"/>
      <c r="AW157" s="574"/>
      <c r="AX157" s="565"/>
      <c r="AY157" s="565"/>
      <c r="AZ157" s="565"/>
    </row>
    <row r="158" spans="1:53" ht="22.5" hidden="1" outlineLevel="1" x14ac:dyDescent="0.2">
      <c r="A158" s="557" t="str">
        <f t="shared" si="39"/>
        <v>2</v>
      </c>
      <c r="C158" s="567"/>
      <c r="D158" s="567" t="s">
        <v>617</v>
      </c>
      <c r="L158" s="568" t="s">
        <v>618</v>
      </c>
      <c r="M158" s="589" t="s">
        <v>619</v>
      </c>
      <c r="N158" s="570" t="s">
        <v>106</v>
      </c>
      <c r="O158" s="583"/>
      <c r="P158" s="583"/>
      <c r="Q158" s="583"/>
      <c r="R158" s="573">
        <v>0</v>
      </c>
      <c r="S158" s="583"/>
      <c r="T158" s="583"/>
      <c r="U158" s="574"/>
      <c r="V158" s="574"/>
      <c r="W158" s="574"/>
      <c r="X158" s="574"/>
      <c r="Y158" s="574"/>
      <c r="Z158" s="574"/>
      <c r="AA158" s="574"/>
      <c r="AB158" s="574"/>
      <c r="AC158" s="574"/>
      <c r="AD158" s="583"/>
      <c r="AE158" s="574"/>
      <c r="AF158" s="574"/>
      <c r="AG158" s="574"/>
      <c r="AH158" s="574"/>
      <c r="AI158" s="574"/>
      <c r="AJ158" s="574"/>
      <c r="AK158" s="574"/>
      <c r="AL158" s="574"/>
      <c r="AM158" s="574"/>
      <c r="AN158" s="573">
        <f t="shared" si="40"/>
        <v>0</v>
      </c>
      <c r="AO158" s="574"/>
      <c r="AP158" s="574"/>
      <c r="AQ158" s="574"/>
      <c r="AR158" s="574"/>
      <c r="AS158" s="574"/>
      <c r="AT158" s="574"/>
      <c r="AU158" s="574"/>
      <c r="AV158" s="574"/>
      <c r="AW158" s="574"/>
      <c r="AX158" s="565"/>
      <c r="AY158" s="565"/>
      <c r="AZ158" s="565"/>
    </row>
    <row r="159" spans="1:53" ht="45" hidden="1" outlineLevel="1" x14ac:dyDescent="0.2">
      <c r="A159" s="557" t="str">
        <f t="shared" si="39"/>
        <v>2</v>
      </c>
      <c r="C159" s="567"/>
      <c r="D159" s="567" t="s">
        <v>620</v>
      </c>
      <c r="L159" s="568" t="s">
        <v>621</v>
      </c>
      <c r="M159" s="584" t="s">
        <v>622</v>
      </c>
      <c r="N159" s="570" t="s">
        <v>106</v>
      </c>
      <c r="O159" s="583"/>
      <c r="P159" s="583"/>
      <c r="Q159" s="583"/>
      <c r="R159" s="573">
        <v>0</v>
      </c>
      <c r="S159" s="583"/>
      <c r="T159" s="583"/>
      <c r="U159" s="574"/>
      <c r="V159" s="574"/>
      <c r="W159" s="574"/>
      <c r="X159" s="574"/>
      <c r="Y159" s="574"/>
      <c r="Z159" s="574"/>
      <c r="AA159" s="574"/>
      <c r="AB159" s="574"/>
      <c r="AC159" s="574"/>
      <c r="AD159" s="583"/>
      <c r="AE159" s="574"/>
      <c r="AF159" s="574"/>
      <c r="AG159" s="574"/>
      <c r="AH159" s="574"/>
      <c r="AI159" s="574"/>
      <c r="AJ159" s="574"/>
      <c r="AK159" s="574"/>
      <c r="AL159" s="574"/>
      <c r="AM159" s="574"/>
      <c r="AN159" s="573">
        <f t="shared" si="40"/>
        <v>0</v>
      </c>
      <c r="AO159" s="574"/>
      <c r="AP159" s="574"/>
      <c r="AQ159" s="574"/>
      <c r="AR159" s="574"/>
      <c r="AS159" s="574"/>
      <c r="AT159" s="574"/>
      <c r="AU159" s="574"/>
      <c r="AV159" s="574"/>
      <c r="AW159" s="574"/>
      <c r="AX159" s="565"/>
      <c r="AY159" s="565"/>
      <c r="AZ159" s="565"/>
    </row>
    <row r="160" spans="1:53" ht="11.25" outlineLevel="1" x14ac:dyDescent="0.2">
      <c r="A160" s="557" t="str">
        <f t="shared" si="39"/>
        <v>2</v>
      </c>
      <c r="C160" s="567"/>
      <c r="D160" s="567" t="s">
        <v>624</v>
      </c>
      <c r="L160" s="568" t="s">
        <v>625</v>
      </c>
      <c r="M160" s="584" t="s">
        <v>626</v>
      </c>
      <c r="N160" s="570" t="s">
        <v>106</v>
      </c>
      <c r="O160" s="583"/>
      <c r="P160" s="583"/>
      <c r="Q160" s="583"/>
      <c r="R160" s="573">
        <v>0</v>
      </c>
      <c r="S160" s="583"/>
      <c r="T160" s="583"/>
      <c r="U160" s="574"/>
      <c r="V160" s="574"/>
      <c r="W160" s="574"/>
      <c r="X160" s="574"/>
      <c r="Y160" s="574"/>
      <c r="Z160" s="574"/>
      <c r="AA160" s="574"/>
      <c r="AB160" s="574"/>
      <c r="AC160" s="574"/>
      <c r="AD160" s="583"/>
      <c r="AE160" s="574"/>
      <c r="AF160" s="574"/>
      <c r="AG160" s="574"/>
      <c r="AH160" s="574"/>
      <c r="AI160" s="574"/>
      <c r="AJ160" s="574"/>
      <c r="AK160" s="574"/>
      <c r="AL160" s="574"/>
      <c r="AM160" s="574"/>
      <c r="AN160" s="573">
        <f t="shared" si="40"/>
        <v>0</v>
      </c>
      <c r="AO160" s="574"/>
      <c r="AP160" s="574"/>
      <c r="AQ160" s="574"/>
      <c r="AR160" s="574"/>
      <c r="AS160" s="574"/>
      <c r="AT160" s="574"/>
      <c r="AU160" s="574"/>
      <c r="AV160" s="574"/>
      <c r="AW160" s="574"/>
      <c r="AX160" s="565"/>
      <c r="AY160" s="565"/>
      <c r="AZ160" s="565"/>
    </row>
    <row r="161" spans="1:52" ht="11.25" outlineLevel="1" x14ac:dyDescent="0.2">
      <c r="A161" s="557" t="str">
        <f t="shared" si="39"/>
        <v>2</v>
      </c>
      <c r="C161" s="567"/>
      <c r="D161" s="567" t="s">
        <v>627</v>
      </c>
      <c r="L161" s="568" t="s">
        <v>628</v>
      </c>
      <c r="M161" s="584" t="s">
        <v>629</v>
      </c>
      <c r="N161" s="570" t="s">
        <v>106</v>
      </c>
      <c r="O161" s="583">
        <v>464</v>
      </c>
      <c r="P161" s="583">
        <v>2.5999999999999996</v>
      </c>
      <c r="Q161" s="583">
        <v>424.12</v>
      </c>
      <c r="R161" s="573">
        <v>421.52</v>
      </c>
      <c r="S161" s="583">
        <v>491.07</v>
      </c>
      <c r="T161" s="583">
        <v>9.6910000000000007</v>
      </c>
      <c r="U161" s="574"/>
      <c r="V161" s="574"/>
      <c r="W161" s="574"/>
      <c r="X161" s="574"/>
      <c r="Y161" s="574"/>
      <c r="Z161" s="574"/>
      <c r="AA161" s="574"/>
      <c r="AB161" s="574"/>
      <c r="AC161" s="574"/>
      <c r="AD161" s="583">
        <v>8.6913300000000007</v>
      </c>
      <c r="AE161" s="574"/>
      <c r="AF161" s="574"/>
      <c r="AG161" s="574"/>
      <c r="AH161" s="574"/>
      <c r="AI161" s="574"/>
      <c r="AJ161" s="574"/>
      <c r="AK161" s="574"/>
      <c r="AL161" s="574"/>
      <c r="AM161" s="574"/>
      <c r="AN161" s="573">
        <f>IF(S161=0,0,(AD161-S161)/S161*100)</f>
        <v>-98.230124014906224</v>
      </c>
      <c r="AO161" s="574"/>
      <c r="AP161" s="574"/>
      <c r="AQ161" s="574"/>
      <c r="AR161" s="574"/>
      <c r="AS161" s="574"/>
      <c r="AT161" s="574"/>
      <c r="AU161" s="574"/>
      <c r="AV161" s="574"/>
      <c r="AW161" s="574"/>
      <c r="AX161" s="565"/>
      <c r="AY161" s="565"/>
      <c r="AZ161" s="565"/>
    </row>
    <row r="162" spans="1:52" s="590" customFormat="1" ht="11.25" outlineLevel="1" x14ac:dyDescent="0.2">
      <c r="A162" s="557" t="str">
        <f t="shared" si="39"/>
        <v>2</v>
      </c>
      <c r="C162" s="567"/>
      <c r="D162" s="567" t="s">
        <v>630</v>
      </c>
      <c r="L162" s="591" t="s">
        <v>21</v>
      </c>
      <c r="M162" s="592" t="s">
        <v>631</v>
      </c>
      <c r="N162" s="593" t="s">
        <v>106</v>
      </c>
      <c r="O162" s="594">
        <v>0</v>
      </c>
      <c r="P162" s="594">
        <v>12.1</v>
      </c>
      <c r="Q162" s="594">
        <v>0</v>
      </c>
      <c r="R162" s="563">
        <v>-12.1</v>
      </c>
      <c r="S162" s="594">
        <v>0</v>
      </c>
      <c r="T162" s="594">
        <v>157.02000000000001</v>
      </c>
      <c r="U162" s="576"/>
      <c r="V162" s="576"/>
      <c r="W162" s="576"/>
      <c r="X162" s="576"/>
      <c r="Y162" s="576"/>
      <c r="Z162" s="576"/>
      <c r="AA162" s="576"/>
      <c r="AB162" s="576"/>
      <c r="AC162" s="576"/>
      <c r="AD162" s="594">
        <v>13.825944</v>
      </c>
      <c r="AE162" s="576"/>
      <c r="AF162" s="576"/>
      <c r="AG162" s="576"/>
      <c r="AH162" s="576"/>
      <c r="AI162" s="576"/>
      <c r="AJ162" s="576"/>
      <c r="AK162" s="576"/>
      <c r="AL162" s="576"/>
      <c r="AM162" s="576"/>
      <c r="AN162" s="563">
        <f>IF(S162=0,0,(AD162-S162)/S162*100)</f>
        <v>0</v>
      </c>
      <c r="AO162" s="576"/>
      <c r="AP162" s="576"/>
      <c r="AQ162" s="576"/>
      <c r="AR162" s="576"/>
      <c r="AS162" s="576"/>
      <c r="AT162" s="576"/>
      <c r="AU162" s="576"/>
      <c r="AV162" s="576"/>
      <c r="AW162" s="576"/>
      <c r="AX162" s="577"/>
      <c r="AY162" s="577"/>
      <c r="AZ162" s="577"/>
    </row>
    <row r="163" spans="1:52" ht="22.5" outlineLevel="1" x14ac:dyDescent="0.2">
      <c r="A163" s="557" t="str">
        <f t="shared" si="39"/>
        <v>2</v>
      </c>
      <c r="C163" s="567"/>
      <c r="D163" s="567" t="s">
        <v>632</v>
      </c>
      <c r="L163" s="568" t="s">
        <v>41</v>
      </c>
      <c r="M163" s="578" t="s">
        <v>633</v>
      </c>
      <c r="N163" s="570" t="s">
        <v>106</v>
      </c>
      <c r="O163" s="583"/>
      <c r="P163" s="583">
        <v>12.1</v>
      </c>
      <c r="Q163" s="583"/>
      <c r="R163" s="573">
        <v>-12.1</v>
      </c>
      <c r="S163" s="583"/>
      <c r="T163" s="583">
        <v>157.02000000000001</v>
      </c>
      <c r="U163" s="574"/>
      <c r="V163" s="574"/>
      <c r="W163" s="574"/>
      <c r="X163" s="574"/>
      <c r="Y163" s="574"/>
      <c r="Z163" s="574"/>
      <c r="AA163" s="574"/>
      <c r="AB163" s="574"/>
      <c r="AC163" s="574"/>
      <c r="AD163" s="583">
        <v>13.825944</v>
      </c>
      <c r="AE163" s="574"/>
      <c r="AF163" s="574"/>
      <c r="AG163" s="574"/>
      <c r="AH163" s="574"/>
      <c r="AI163" s="574"/>
      <c r="AJ163" s="574"/>
      <c r="AK163" s="574"/>
      <c r="AL163" s="574"/>
      <c r="AM163" s="574"/>
      <c r="AN163" s="573">
        <f t="shared" si="40"/>
        <v>0</v>
      </c>
      <c r="AO163" s="574"/>
      <c r="AP163" s="574"/>
      <c r="AQ163" s="574"/>
      <c r="AR163" s="574"/>
      <c r="AS163" s="574"/>
      <c r="AT163" s="574"/>
      <c r="AU163" s="574"/>
      <c r="AV163" s="574"/>
      <c r="AW163" s="574"/>
      <c r="AX163" s="565"/>
      <c r="AY163" s="565"/>
      <c r="AZ163" s="565"/>
    </row>
    <row r="164" spans="1:52" ht="38.25" hidden="1" outlineLevel="1" x14ac:dyDescent="0.2">
      <c r="A164" s="557" t="str">
        <f t="shared" si="39"/>
        <v>2</v>
      </c>
      <c r="C164" s="567"/>
      <c r="D164" s="567" t="s">
        <v>634</v>
      </c>
      <c r="L164" s="568" t="s">
        <v>48</v>
      </c>
      <c r="M164" s="588" t="s">
        <v>635</v>
      </c>
      <c r="N164" s="570" t="s">
        <v>106</v>
      </c>
      <c r="O164" s="583"/>
      <c r="P164" s="583"/>
      <c r="Q164" s="583"/>
      <c r="R164" s="573">
        <v>0</v>
      </c>
      <c r="S164" s="583"/>
      <c r="T164" s="583"/>
      <c r="U164" s="574"/>
      <c r="V164" s="574"/>
      <c r="W164" s="574"/>
      <c r="X164" s="574"/>
      <c r="Y164" s="574"/>
      <c r="Z164" s="574"/>
      <c r="AA164" s="574"/>
      <c r="AB164" s="574"/>
      <c r="AC164" s="574"/>
      <c r="AD164" s="583"/>
      <c r="AE164" s="574"/>
      <c r="AF164" s="574"/>
      <c r="AG164" s="574"/>
      <c r="AH164" s="574"/>
      <c r="AI164" s="574"/>
      <c r="AJ164" s="574"/>
      <c r="AK164" s="574"/>
      <c r="AL164" s="574"/>
      <c r="AM164" s="574"/>
      <c r="AN164" s="573">
        <f t="shared" si="40"/>
        <v>0</v>
      </c>
      <c r="AO164" s="574"/>
      <c r="AP164" s="574"/>
      <c r="AQ164" s="574"/>
      <c r="AR164" s="574"/>
      <c r="AS164" s="574"/>
      <c r="AT164" s="574"/>
      <c r="AU164" s="574"/>
      <c r="AV164" s="574"/>
      <c r="AW164" s="574"/>
      <c r="AX164" s="565"/>
      <c r="AY164" s="565"/>
      <c r="AZ164" s="565"/>
    </row>
    <row r="165" spans="1:52" ht="25.5" hidden="1" outlineLevel="1" x14ac:dyDescent="0.2">
      <c r="A165" s="557" t="str">
        <f t="shared" si="39"/>
        <v>2</v>
      </c>
      <c r="C165" s="567"/>
      <c r="D165" s="567" t="s">
        <v>636</v>
      </c>
      <c r="L165" s="568" t="s">
        <v>637</v>
      </c>
      <c r="M165" s="588" t="s">
        <v>638</v>
      </c>
      <c r="N165" s="570" t="s">
        <v>106</v>
      </c>
      <c r="O165" s="585">
        <v>0</v>
      </c>
      <c r="P165" s="585">
        <v>0</v>
      </c>
      <c r="Q165" s="585">
        <v>0</v>
      </c>
      <c r="R165" s="573">
        <v>0</v>
      </c>
      <c r="S165" s="585">
        <v>0</v>
      </c>
      <c r="T165" s="585">
        <v>0</v>
      </c>
      <c r="U165" s="574"/>
      <c r="V165" s="574"/>
      <c r="W165" s="574"/>
      <c r="X165" s="574"/>
      <c r="Y165" s="574"/>
      <c r="Z165" s="574"/>
      <c r="AA165" s="574"/>
      <c r="AB165" s="574"/>
      <c r="AC165" s="574"/>
      <c r="AD165" s="585">
        <v>0</v>
      </c>
      <c r="AE165" s="574"/>
      <c r="AF165" s="574"/>
      <c r="AG165" s="574"/>
      <c r="AH165" s="574"/>
      <c r="AI165" s="574"/>
      <c r="AJ165" s="574"/>
      <c r="AK165" s="574"/>
      <c r="AL165" s="574"/>
      <c r="AM165" s="574"/>
      <c r="AN165" s="573">
        <f>IF(S165=0,0,(AD165-S165)/S165*100)</f>
        <v>0</v>
      </c>
      <c r="AO165" s="574"/>
      <c r="AP165" s="574"/>
      <c r="AQ165" s="574"/>
      <c r="AR165" s="574"/>
      <c r="AS165" s="574"/>
      <c r="AT165" s="574"/>
      <c r="AU165" s="574"/>
      <c r="AV165" s="574"/>
      <c r="AW165" s="574"/>
      <c r="AX165" s="565"/>
      <c r="AY165" s="565"/>
      <c r="AZ165" s="565"/>
    </row>
    <row r="166" spans="1:52" ht="15" hidden="1" outlineLevel="1" x14ac:dyDescent="0.25">
      <c r="A166" s="557" t="str">
        <f t="shared" si="39"/>
        <v>2</v>
      </c>
      <c r="B166" s="595" t="s">
        <v>639</v>
      </c>
      <c r="C166" s="567"/>
      <c r="D166" s="567" t="s">
        <v>640</v>
      </c>
      <c r="L166" s="568" t="s">
        <v>641</v>
      </c>
      <c r="M166" s="581" t="s">
        <v>642</v>
      </c>
      <c r="N166" s="570" t="s">
        <v>106</v>
      </c>
      <c r="O166" s="587">
        <v>0</v>
      </c>
      <c r="P166" s="587">
        <v>0</v>
      </c>
      <c r="Q166" s="587">
        <v>0</v>
      </c>
      <c r="R166" s="573">
        <v>0</v>
      </c>
      <c r="S166" s="587">
        <v>0</v>
      </c>
      <c r="T166" s="587">
        <v>0</v>
      </c>
      <c r="U166" s="574"/>
      <c r="V166" s="574"/>
      <c r="W166" s="574"/>
      <c r="X166" s="574"/>
      <c r="Y166" s="574"/>
      <c r="Z166" s="574"/>
      <c r="AA166" s="574"/>
      <c r="AB166" s="574"/>
      <c r="AC166" s="574"/>
      <c r="AD166" s="587">
        <v>0</v>
      </c>
      <c r="AE166" s="574"/>
      <c r="AF166" s="574"/>
      <c r="AG166" s="574"/>
      <c r="AH166" s="574"/>
      <c r="AI166" s="574"/>
      <c r="AJ166" s="574"/>
      <c r="AK166" s="574"/>
      <c r="AL166" s="574"/>
      <c r="AM166" s="574"/>
      <c r="AN166" s="573">
        <f>IF(S166=0,0,(AD166-S166)/S166*100)</f>
        <v>0</v>
      </c>
      <c r="AO166" s="574"/>
      <c r="AP166" s="574"/>
      <c r="AQ166" s="574"/>
      <c r="AR166" s="574"/>
      <c r="AS166" s="574"/>
      <c r="AT166" s="574"/>
      <c r="AU166" s="574"/>
      <c r="AV166" s="574"/>
      <c r="AW166" s="574"/>
      <c r="AX166" s="565"/>
      <c r="AY166" s="565"/>
      <c r="AZ166" s="565"/>
    </row>
    <row r="167" spans="1:52" ht="25.5" hidden="1" outlineLevel="1" x14ac:dyDescent="0.25">
      <c r="A167" s="557" t="str">
        <f t="shared" si="39"/>
        <v>2</v>
      </c>
      <c r="B167" s="595" t="s">
        <v>643</v>
      </c>
      <c r="C167" s="567"/>
      <c r="D167" s="567" t="s">
        <v>644</v>
      </c>
      <c r="L167" s="568" t="s">
        <v>645</v>
      </c>
      <c r="M167" s="581" t="s">
        <v>646</v>
      </c>
      <c r="N167" s="570" t="s">
        <v>106</v>
      </c>
      <c r="O167" s="587">
        <v>0</v>
      </c>
      <c r="P167" s="587">
        <v>0</v>
      </c>
      <c r="Q167" s="587">
        <v>0</v>
      </c>
      <c r="R167" s="573">
        <v>0</v>
      </c>
      <c r="S167" s="587">
        <v>0</v>
      </c>
      <c r="T167" s="587">
        <v>0</v>
      </c>
      <c r="U167" s="574"/>
      <c r="V167" s="574"/>
      <c r="W167" s="574"/>
      <c r="X167" s="574"/>
      <c r="Y167" s="574"/>
      <c r="Z167" s="574"/>
      <c r="AA167" s="574"/>
      <c r="AB167" s="574"/>
      <c r="AC167" s="574"/>
      <c r="AD167" s="587">
        <v>0</v>
      </c>
      <c r="AE167" s="574"/>
      <c r="AF167" s="574"/>
      <c r="AG167" s="574"/>
      <c r="AH167" s="574"/>
      <c r="AI167" s="574"/>
      <c r="AJ167" s="574"/>
      <c r="AK167" s="574"/>
      <c r="AL167" s="574"/>
      <c r="AM167" s="574"/>
      <c r="AN167" s="573">
        <f>IF(S167=0,0,(AD167-S167)/S167*100)</f>
        <v>0</v>
      </c>
      <c r="AO167" s="574"/>
      <c r="AP167" s="574"/>
      <c r="AQ167" s="574"/>
      <c r="AR167" s="574"/>
      <c r="AS167" s="574"/>
      <c r="AT167" s="574"/>
      <c r="AU167" s="574"/>
      <c r="AV167" s="574"/>
      <c r="AW167" s="574"/>
      <c r="AX167" s="565"/>
      <c r="AY167" s="565"/>
      <c r="AZ167" s="565"/>
    </row>
    <row r="168" spans="1:52" s="590" customFormat="1" ht="11.25" outlineLevel="1" x14ac:dyDescent="0.2">
      <c r="A168" s="557" t="str">
        <f t="shared" si="39"/>
        <v>2</v>
      </c>
      <c r="C168" s="567"/>
      <c r="D168" s="567" t="s">
        <v>647</v>
      </c>
      <c r="L168" s="591" t="s">
        <v>22</v>
      </c>
      <c r="M168" s="592" t="s">
        <v>77</v>
      </c>
      <c r="N168" s="593" t="s">
        <v>106</v>
      </c>
      <c r="O168" s="594">
        <v>0.12</v>
      </c>
      <c r="P168" s="594">
        <v>61.980660000000007</v>
      </c>
      <c r="Q168" s="594">
        <v>0</v>
      </c>
      <c r="R168" s="563">
        <v>-61.980660000000007</v>
      </c>
      <c r="S168" s="594">
        <v>0.13</v>
      </c>
      <c r="T168" s="594">
        <v>82.088029389200003</v>
      </c>
      <c r="U168" s="576"/>
      <c r="V168" s="576"/>
      <c r="W168" s="576"/>
      <c r="X168" s="576"/>
      <c r="Y168" s="576"/>
      <c r="Z168" s="576"/>
      <c r="AA168" s="576"/>
      <c r="AB168" s="576"/>
      <c r="AC168" s="576"/>
      <c r="AD168" s="594">
        <v>73.176542321209297</v>
      </c>
      <c r="AE168" s="576"/>
      <c r="AF168" s="576"/>
      <c r="AG168" s="576"/>
      <c r="AH168" s="576"/>
      <c r="AI168" s="576"/>
      <c r="AJ168" s="576"/>
      <c r="AK168" s="576"/>
      <c r="AL168" s="576"/>
      <c r="AM168" s="576"/>
      <c r="AN168" s="563">
        <f>IF(S168=0,0,(AD168-S168)/S168*100)</f>
        <v>56189.647939391776</v>
      </c>
      <c r="AO168" s="576"/>
      <c r="AP168" s="576"/>
      <c r="AQ168" s="576"/>
      <c r="AR168" s="576"/>
      <c r="AS168" s="576"/>
      <c r="AT168" s="576"/>
      <c r="AU168" s="576"/>
      <c r="AV168" s="576"/>
      <c r="AW168" s="576"/>
      <c r="AX168" s="577"/>
      <c r="AY168" s="577"/>
      <c r="AZ168" s="577"/>
    </row>
    <row r="169" spans="1:52" ht="22.5" outlineLevel="1" x14ac:dyDescent="0.2">
      <c r="A169" s="557" t="str">
        <f t="shared" si="39"/>
        <v>2</v>
      </c>
      <c r="B169" s="537" t="s">
        <v>648</v>
      </c>
      <c r="C169" s="567"/>
      <c r="D169" s="567" t="s">
        <v>649</v>
      </c>
      <c r="L169" s="568" t="s">
        <v>650</v>
      </c>
      <c r="M169" s="578" t="s">
        <v>651</v>
      </c>
      <c r="N169" s="570" t="s">
        <v>106</v>
      </c>
      <c r="O169" s="587">
        <v>0.12</v>
      </c>
      <c r="P169" s="587">
        <v>6.34</v>
      </c>
      <c r="Q169" s="587">
        <v>0</v>
      </c>
      <c r="R169" s="573">
        <v>-6.34</v>
      </c>
      <c r="S169" s="587">
        <v>0.13</v>
      </c>
      <c r="T169" s="587">
        <v>2.14</v>
      </c>
      <c r="U169" s="574"/>
      <c r="V169" s="574"/>
      <c r="W169" s="574"/>
      <c r="X169" s="574"/>
      <c r="Y169" s="574"/>
      <c r="Z169" s="574"/>
      <c r="AA169" s="574"/>
      <c r="AB169" s="574"/>
      <c r="AC169" s="574"/>
      <c r="AD169" s="587">
        <v>2.14</v>
      </c>
      <c r="AE169" s="574"/>
      <c r="AF169" s="574"/>
      <c r="AG169" s="574"/>
      <c r="AH169" s="574"/>
      <c r="AI169" s="574"/>
      <c r="AJ169" s="574"/>
      <c r="AK169" s="574"/>
      <c r="AL169" s="574"/>
      <c r="AM169" s="574"/>
      <c r="AN169" s="573">
        <f t="shared" si="40"/>
        <v>1546.1538461538464</v>
      </c>
      <c r="AO169" s="574"/>
      <c r="AP169" s="574"/>
      <c r="AQ169" s="574"/>
      <c r="AR169" s="574"/>
      <c r="AS169" s="574"/>
      <c r="AT169" s="574"/>
      <c r="AU169" s="574"/>
      <c r="AV169" s="574"/>
      <c r="AW169" s="574"/>
      <c r="AX169" s="565"/>
      <c r="AY169" s="565"/>
      <c r="AZ169" s="565"/>
    </row>
    <row r="170" spans="1:52" ht="12.75" outlineLevel="1" x14ac:dyDescent="0.2">
      <c r="A170" s="557" t="str">
        <f t="shared" si="39"/>
        <v>2</v>
      </c>
      <c r="B170" s="537" t="s">
        <v>652</v>
      </c>
      <c r="C170" s="567"/>
      <c r="D170" s="567" t="s">
        <v>653</v>
      </c>
      <c r="L170" s="568" t="s">
        <v>654</v>
      </c>
      <c r="M170" s="581" t="s">
        <v>655</v>
      </c>
      <c r="N170" s="570" t="s">
        <v>106</v>
      </c>
      <c r="O170" s="587">
        <v>0</v>
      </c>
      <c r="P170" s="587">
        <v>0.81</v>
      </c>
      <c r="Q170" s="587">
        <v>0</v>
      </c>
      <c r="R170" s="573">
        <v>-0.81</v>
      </c>
      <c r="S170" s="587">
        <v>0</v>
      </c>
      <c r="T170" s="587">
        <v>0.91</v>
      </c>
      <c r="U170" s="574"/>
      <c r="V170" s="574"/>
      <c r="W170" s="574"/>
      <c r="X170" s="574"/>
      <c r="Y170" s="574"/>
      <c r="Z170" s="574"/>
      <c r="AA170" s="574"/>
      <c r="AB170" s="574"/>
      <c r="AC170" s="574"/>
      <c r="AD170" s="587">
        <v>0.91</v>
      </c>
      <c r="AE170" s="574"/>
      <c r="AF170" s="574"/>
      <c r="AG170" s="574"/>
      <c r="AH170" s="574"/>
      <c r="AI170" s="574"/>
      <c r="AJ170" s="574"/>
      <c r="AK170" s="574"/>
      <c r="AL170" s="574"/>
      <c r="AM170" s="574"/>
      <c r="AN170" s="573">
        <f t="shared" si="40"/>
        <v>0</v>
      </c>
      <c r="AO170" s="574"/>
      <c r="AP170" s="574"/>
      <c r="AQ170" s="574"/>
      <c r="AR170" s="574"/>
      <c r="AS170" s="574"/>
      <c r="AT170" s="574"/>
      <c r="AU170" s="574"/>
      <c r="AV170" s="574"/>
      <c r="AW170" s="574"/>
      <c r="AX170" s="565"/>
      <c r="AY170" s="565"/>
      <c r="AZ170" s="565"/>
    </row>
    <row r="171" spans="1:52" ht="12.75" outlineLevel="1" x14ac:dyDescent="0.2">
      <c r="A171" s="557" t="str">
        <f t="shared" si="39"/>
        <v>2</v>
      </c>
      <c r="B171" s="537" t="s">
        <v>656</v>
      </c>
      <c r="C171" s="567"/>
      <c r="D171" s="567" t="s">
        <v>657</v>
      </c>
      <c r="L171" s="568" t="s">
        <v>658</v>
      </c>
      <c r="M171" s="581" t="s">
        <v>659</v>
      </c>
      <c r="N171" s="570" t="s">
        <v>106</v>
      </c>
      <c r="O171" s="587">
        <v>0</v>
      </c>
      <c r="P171" s="587">
        <v>0</v>
      </c>
      <c r="Q171" s="587">
        <v>0</v>
      </c>
      <c r="R171" s="573">
        <v>0</v>
      </c>
      <c r="S171" s="587">
        <v>0</v>
      </c>
      <c r="T171" s="587">
        <v>0</v>
      </c>
      <c r="U171" s="574"/>
      <c r="V171" s="574"/>
      <c r="W171" s="574"/>
      <c r="X171" s="574"/>
      <c r="Y171" s="574"/>
      <c r="Z171" s="574"/>
      <c r="AA171" s="574"/>
      <c r="AB171" s="574"/>
      <c r="AC171" s="574"/>
      <c r="AD171" s="587">
        <v>0</v>
      </c>
      <c r="AE171" s="574"/>
      <c r="AF171" s="574"/>
      <c r="AG171" s="574"/>
      <c r="AH171" s="574"/>
      <c r="AI171" s="574"/>
      <c r="AJ171" s="574"/>
      <c r="AK171" s="574"/>
      <c r="AL171" s="574"/>
      <c r="AM171" s="574"/>
      <c r="AN171" s="573">
        <f t="shared" si="40"/>
        <v>0</v>
      </c>
      <c r="AO171" s="574"/>
      <c r="AP171" s="574"/>
      <c r="AQ171" s="574"/>
      <c r="AR171" s="574"/>
      <c r="AS171" s="574"/>
      <c r="AT171" s="574"/>
      <c r="AU171" s="574"/>
      <c r="AV171" s="574"/>
      <c r="AW171" s="574"/>
      <c r="AX171" s="565"/>
      <c r="AY171" s="565"/>
      <c r="AZ171" s="565"/>
    </row>
    <row r="172" spans="1:52" ht="12.75" outlineLevel="1" x14ac:dyDescent="0.2">
      <c r="A172" s="557" t="str">
        <f t="shared" si="39"/>
        <v>2</v>
      </c>
      <c r="B172" s="537" t="s">
        <v>660</v>
      </c>
      <c r="C172" s="567"/>
      <c r="D172" s="567" t="s">
        <v>661</v>
      </c>
      <c r="L172" s="568" t="s">
        <v>662</v>
      </c>
      <c r="M172" s="581" t="s">
        <v>663</v>
      </c>
      <c r="N172" s="570" t="s">
        <v>106</v>
      </c>
      <c r="O172" s="587">
        <v>0</v>
      </c>
      <c r="P172" s="587">
        <v>0</v>
      </c>
      <c r="Q172" s="587">
        <v>0</v>
      </c>
      <c r="R172" s="573">
        <v>0</v>
      </c>
      <c r="S172" s="587">
        <v>0</v>
      </c>
      <c r="T172" s="587">
        <v>0</v>
      </c>
      <c r="U172" s="574"/>
      <c r="V172" s="574"/>
      <c r="W172" s="574"/>
      <c r="X172" s="574"/>
      <c r="Y172" s="574"/>
      <c r="Z172" s="574"/>
      <c r="AA172" s="574"/>
      <c r="AB172" s="574"/>
      <c r="AC172" s="574"/>
      <c r="AD172" s="587">
        <v>0</v>
      </c>
      <c r="AE172" s="574"/>
      <c r="AF172" s="574"/>
      <c r="AG172" s="574"/>
      <c r="AH172" s="574"/>
      <c r="AI172" s="574"/>
      <c r="AJ172" s="574"/>
      <c r="AK172" s="574"/>
      <c r="AL172" s="574"/>
      <c r="AM172" s="574"/>
      <c r="AN172" s="573">
        <f t="shared" si="40"/>
        <v>0</v>
      </c>
      <c r="AO172" s="574"/>
      <c r="AP172" s="574"/>
      <c r="AQ172" s="574"/>
      <c r="AR172" s="574"/>
      <c r="AS172" s="574"/>
      <c r="AT172" s="574"/>
      <c r="AU172" s="574"/>
      <c r="AV172" s="574"/>
      <c r="AW172" s="574"/>
      <c r="AX172" s="565"/>
      <c r="AY172" s="565"/>
      <c r="AZ172" s="565"/>
    </row>
    <row r="173" spans="1:52" ht="12.75" outlineLevel="1" x14ac:dyDescent="0.2">
      <c r="A173" s="557" t="str">
        <f t="shared" si="39"/>
        <v>2</v>
      </c>
      <c r="B173" s="537" t="s">
        <v>664</v>
      </c>
      <c r="C173" s="567"/>
      <c r="D173" s="567" t="s">
        <v>665</v>
      </c>
      <c r="L173" s="568" t="s">
        <v>666</v>
      </c>
      <c r="M173" s="581" t="s">
        <v>667</v>
      </c>
      <c r="N173" s="570" t="s">
        <v>106</v>
      </c>
      <c r="O173" s="587">
        <v>0</v>
      </c>
      <c r="P173" s="587">
        <v>0</v>
      </c>
      <c r="Q173" s="587">
        <v>0</v>
      </c>
      <c r="R173" s="573">
        <v>0</v>
      </c>
      <c r="S173" s="587">
        <v>0</v>
      </c>
      <c r="T173" s="587">
        <v>0</v>
      </c>
      <c r="U173" s="574"/>
      <c r="V173" s="574"/>
      <c r="W173" s="574"/>
      <c r="X173" s="574"/>
      <c r="Y173" s="574"/>
      <c r="Z173" s="574"/>
      <c r="AA173" s="574"/>
      <c r="AB173" s="574"/>
      <c r="AC173" s="574"/>
      <c r="AD173" s="587">
        <v>0</v>
      </c>
      <c r="AE173" s="574"/>
      <c r="AF173" s="574"/>
      <c r="AG173" s="574"/>
      <c r="AH173" s="574"/>
      <c r="AI173" s="574"/>
      <c r="AJ173" s="574"/>
      <c r="AK173" s="574"/>
      <c r="AL173" s="574"/>
      <c r="AM173" s="574"/>
      <c r="AN173" s="573">
        <f t="shared" si="40"/>
        <v>0</v>
      </c>
      <c r="AO173" s="574"/>
      <c r="AP173" s="574"/>
      <c r="AQ173" s="574"/>
      <c r="AR173" s="574"/>
      <c r="AS173" s="574"/>
      <c r="AT173" s="574"/>
      <c r="AU173" s="574"/>
      <c r="AV173" s="574"/>
      <c r="AW173" s="574"/>
      <c r="AX173" s="565"/>
      <c r="AY173" s="565"/>
      <c r="AZ173" s="565"/>
    </row>
    <row r="174" spans="1:52" ht="12.75" outlineLevel="1" x14ac:dyDescent="0.2">
      <c r="A174" s="557" t="str">
        <f t="shared" si="39"/>
        <v>2</v>
      </c>
      <c r="B174" s="537" t="s">
        <v>668</v>
      </c>
      <c r="C174" s="567"/>
      <c r="D174" s="567" t="s">
        <v>669</v>
      </c>
      <c r="L174" s="568" t="s">
        <v>670</v>
      </c>
      <c r="M174" s="581" t="s">
        <v>671</v>
      </c>
      <c r="N174" s="570" t="s">
        <v>106</v>
      </c>
      <c r="O174" s="587">
        <v>0</v>
      </c>
      <c r="P174" s="587">
        <v>0</v>
      </c>
      <c r="Q174" s="587">
        <v>0</v>
      </c>
      <c r="R174" s="573">
        <v>0</v>
      </c>
      <c r="S174" s="587">
        <v>0</v>
      </c>
      <c r="T174" s="587">
        <v>0</v>
      </c>
      <c r="U174" s="574"/>
      <c r="V174" s="574"/>
      <c r="W174" s="574"/>
      <c r="X174" s="574"/>
      <c r="Y174" s="574"/>
      <c r="Z174" s="574"/>
      <c r="AA174" s="574"/>
      <c r="AB174" s="574"/>
      <c r="AC174" s="574"/>
      <c r="AD174" s="587">
        <v>0</v>
      </c>
      <c r="AE174" s="574"/>
      <c r="AF174" s="574"/>
      <c r="AG174" s="574"/>
      <c r="AH174" s="574"/>
      <c r="AI174" s="574"/>
      <c r="AJ174" s="574"/>
      <c r="AK174" s="574"/>
      <c r="AL174" s="574"/>
      <c r="AM174" s="574"/>
      <c r="AN174" s="573">
        <f t="shared" si="40"/>
        <v>0</v>
      </c>
      <c r="AO174" s="574"/>
      <c r="AP174" s="574"/>
      <c r="AQ174" s="574"/>
      <c r="AR174" s="574"/>
      <c r="AS174" s="574"/>
      <c r="AT174" s="574"/>
      <c r="AU174" s="574"/>
      <c r="AV174" s="574"/>
      <c r="AW174" s="574"/>
      <c r="AX174" s="565"/>
      <c r="AY174" s="565"/>
      <c r="AZ174" s="565"/>
    </row>
    <row r="175" spans="1:52" ht="12.75" outlineLevel="1" x14ac:dyDescent="0.2">
      <c r="A175" s="557" t="str">
        <f t="shared" si="39"/>
        <v>2</v>
      </c>
      <c r="B175" s="537" t="s">
        <v>672</v>
      </c>
      <c r="C175" s="567"/>
      <c r="D175" s="567" t="s">
        <v>673</v>
      </c>
      <c r="L175" s="568" t="s">
        <v>674</v>
      </c>
      <c r="M175" s="581" t="s">
        <v>675</v>
      </c>
      <c r="N175" s="570" t="s">
        <v>106</v>
      </c>
      <c r="O175" s="587">
        <v>0</v>
      </c>
      <c r="P175" s="587">
        <v>1.1399999999999999</v>
      </c>
      <c r="Q175" s="587">
        <v>0</v>
      </c>
      <c r="R175" s="573">
        <v>-1.1399999999999999</v>
      </c>
      <c r="S175" s="587">
        <v>0</v>
      </c>
      <c r="T175" s="587">
        <v>1.23</v>
      </c>
      <c r="U175" s="574"/>
      <c r="V175" s="574"/>
      <c r="W175" s="574"/>
      <c r="X175" s="574"/>
      <c r="Y175" s="574"/>
      <c r="Z175" s="574"/>
      <c r="AA175" s="574"/>
      <c r="AB175" s="574"/>
      <c r="AC175" s="574"/>
      <c r="AD175" s="587">
        <v>1.23</v>
      </c>
      <c r="AE175" s="574"/>
      <c r="AF175" s="574"/>
      <c r="AG175" s="574"/>
      <c r="AH175" s="574"/>
      <c r="AI175" s="574"/>
      <c r="AJ175" s="574"/>
      <c r="AK175" s="574"/>
      <c r="AL175" s="574"/>
      <c r="AM175" s="574"/>
      <c r="AN175" s="573">
        <f t="shared" si="40"/>
        <v>0</v>
      </c>
      <c r="AO175" s="574"/>
      <c r="AP175" s="574"/>
      <c r="AQ175" s="574"/>
      <c r="AR175" s="574"/>
      <c r="AS175" s="574"/>
      <c r="AT175" s="574"/>
      <c r="AU175" s="574"/>
      <c r="AV175" s="574"/>
      <c r="AW175" s="574"/>
      <c r="AX175" s="565"/>
      <c r="AY175" s="565"/>
      <c r="AZ175" s="565"/>
    </row>
    <row r="176" spans="1:52" ht="12.75" outlineLevel="1" x14ac:dyDescent="0.2">
      <c r="A176" s="557" t="str">
        <f t="shared" si="39"/>
        <v>2</v>
      </c>
      <c r="B176" s="537" t="s">
        <v>676</v>
      </c>
      <c r="C176" s="567"/>
      <c r="D176" s="567" t="s">
        <v>677</v>
      </c>
      <c r="L176" s="568" t="s">
        <v>678</v>
      </c>
      <c r="M176" s="581" t="s">
        <v>679</v>
      </c>
      <c r="N176" s="570" t="s">
        <v>106</v>
      </c>
      <c r="O176" s="587">
        <v>0.12</v>
      </c>
      <c r="P176" s="587">
        <v>4.3899999999999997</v>
      </c>
      <c r="Q176" s="587">
        <v>0</v>
      </c>
      <c r="R176" s="573">
        <v>-4.3899999999999997</v>
      </c>
      <c r="S176" s="587">
        <v>0.13</v>
      </c>
      <c r="T176" s="587">
        <v>0</v>
      </c>
      <c r="U176" s="574"/>
      <c r="V176" s="574"/>
      <c r="W176" s="574"/>
      <c r="X176" s="574"/>
      <c r="Y176" s="574"/>
      <c r="Z176" s="574"/>
      <c r="AA176" s="574"/>
      <c r="AB176" s="574"/>
      <c r="AC176" s="574"/>
      <c r="AD176" s="587">
        <v>0</v>
      </c>
      <c r="AE176" s="574"/>
      <c r="AF176" s="574"/>
      <c r="AG176" s="574"/>
      <c r="AH176" s="574"/>
      <c r="AI176" s="574"/>
      <c r="AJ176" s="574"/>
      <c r="AK176" s="574"/>
      <c r="AL176" s="574"/>
      <c r="AM176" s="574"/>
      <c r="AN176" s="573">
        <f>IF(S176=0,0,(AD176-S176)/S176*100)</f>
        <v>-100</v>
      </c>
      <c r="AO176" s="574"/>
      <c r="AP176" s="574"/>
      <c r="AQ176" s="574"/>
      <c r="AR176" s="574"/>
      <c r="AS176" s="574"/>
      <c r="AT176" s="574"/>
      <c r="AU176" s="574"/>
      <c r="AV176" s="574"/>
      <c r="AW176" s="574"/>
      <c r="AX176" s="565"/>
      <c r="AY176" s="565"/>
      <c r="AZ176" s="565"/>
    </row>
    <row r="177" spans="1:52" ht="22.5" outlineLevel="1" x14ac:dyDescent="0.2">
      <c r="A177" s="557" t="str">
        <f t="shared" si="39"/>
        <v>2</v>
      </c>
      <c r="C177" s="567"/>
      <c r="D177" s="567" t="s">
        <v>680</v>
      </c>
      <c r="L177" s="568" t="s">
        <v>681</v>
      </c>
      <c r="M177" s="578" t="s">
        <v>682</v>
      </c>
      <c r="N177" s="570" t="s">
        <v>106</v>
      </c>
      <c r="O177" s="585">
        <v>0</v>
      </c>
      <c r="P177" s="585">
        <v>46.650660000000002</v>
      </c>
      <c r="Q177" s="585">
        <v>0</v>
      </c>
      <c r="R177" s="573">
        <v>-46.650660000000002</v>
      </c>
      <c r="S177" s="585">
        <v>0</v>
      </c>
      <c r="T177" s="585">
        <v>67.908029389199996</v>
      </c>
      <c r="U177" s="574"/>
      <c r="V177" s="574"/>
      <c r="W177" s="574"/>
      <c r="X177" s="574"/>
      <c r="Y177" s="574"/>
      <c r="Z177" s="574"/>
      <c r="AA177" s="574"/>
      <c r="AB177" s="574"/>
      <c r="AC177" s="574"/>
      <c r="AD177" s="585">
        <v>61.621367690809301</v>
      </c>
      <c r="AE177" s="574"/>
      <c r="AF177" s="574"/>
      <c r="AG177" s="574"/>
      <c r="AH177" s="574"/>
      <c r="AI177" s="574"/>
      <c r="AJ177" s="574"/>
      <c r="AK177" s="574"/>
      <c r="AL177" s="574"/>
      <c r="AM177" s="574"/>
      <c r="AN177" s="573">
        <f>IF(S177=0,0,(AD177-S177)/S177*100)</f>
        <v>0</v>
      </c>
      <c r="AO177" s="574"/>
      <c r="AP177" s="574"/>
      <c r="AQ177" s="574"/>
      <c r="AR177" s="574"/>
      <c r="AS177" s="574"/>
      <c r="AT177" s="574"/>
      <c r="AU177" s="574"/>
      <c r="AV177" s="574"/>
      <c r="AW177" s="574"/>
      <c r="AX177" s="565"/>
      <c r="AY177" s="565"/>
      <c r="AZ177" s="565"/>
    </row>
    <row r="178" spans="1:52" ht="12.75" outlineLevel="1" x14ac:dyDescent="0.2">
      <c r="A178" s="557" t="str">
        <f t="shared" si="39"/>
        <v>2</v>
      </c>
      <c r="B178" s="537" t="s">
        <v>683</v>
      </c>
      <c r="C178" s="567"/>
      <c r="D178" s="567" t="s">
        <v>684</v>
      </c>
      <c r="L178" s="568" t="s">
        <v>685</v>
      </c>
      <c r="M178" s="581" t="s">
        <v>686</v>
      </c>
      <c r="N178" s="596" t="s">
        <v>106</v>
      </c>
      <c r="O178" s="587">
        <v>0</v>
      </c>
      <c r="P178" s="587">
        <v>35.83</v>
      </c>
      <c r="Q178" s="587">
        <v>0</v>
      </c>
      <c r="R178" s="573">
        <v>-35.83</v>
      </c>
      <c r="S178" s="587">
        <v>0</v>
      </c>
      <c r="T178" s="587">
        <v>52.156704599999998</v>
      </c>
      <c r="U178" s="574"/>
      <c r="V178" s="574"/>
      <c r="W178" s="574"/>
      <c r="X178" s="574"/>
      <c r="Y178" s="574"/>
      <c r="Z178" s="574"/>
      <c r="AA178" s="574"/>
      <c r="AB178" s="574"/>
      <c r="AC178" s="574"/>
      <c r="AD178" s="587">
        <v>47.328239393862752</v>
      </c>
      <c r="AE178" s="574"/>
      <c r="AF178" s="574"/>
      <c r="AG178" s="574"/>
      <c r="AH178" s="574"/>
      <c r="AI178" s="574"/>
      <c r="AJ178" s="574"/>
      <c r="AK178" s="574"/>
      <c r="AL178" s="574"/>
      <c r="AM178" s="574"/>
      <c r="AN178" s="573">
        <f>IF(S178=0,0,(AD178-S178)/S178*100)</f>
        <v>0</v>
      </c>
      <c r="AO178" s="574"/>
      <c r="AP178" s="574"/>
      <c r="AQ178" s="574"/>
      <c r="AR178" s="574"/>
      <c r="AS178" s="574"/>
      <c r="AT178" s="574"/>
      <c r="AU178" s="574"/>
      <c r="AV178" s="574"/>
      <c r="AW178" s="574"/>
      <c r="AX178" s="565"/>
      <c r="AY178" s="565"/>
      <c r="AZ178" s="565"/>
    </row>
    <row r="179" spans="1:52" ht="25.5" outlineLevel="1" x14ac:dyDescent="0.2">
      <c r="A179" s="557" t="str">
        <f t="shared" si="39"/>
        <v>2</v>
      </c>
      <c r="B179" s="537" t="s">
        <v>687</v>
      </c>
      <c r="C179" s="567"/>
      <c r="D179" s="567" t="s">
        <v>688</v>
      </c>
      <c r="L179" s="568" t="s">
        <v>689</v>
      </c>
      <c r="M179" s="581" t="s">
        <v>690</v>
      </c>
      <c r="N179" s="570" t="s">
        <v>106</v>
      </c>
      <c r="O179" s="587">
        <v>0</v>
      </c>
      <c r="P179" s="587">
        <v>10.82066</v>
      </c>
      <c r="Q179" s="587">
        <v>0</v>
      </c>
      <c r="R179" s="573">
        <v>-10.82066</v>
      </c>
      <c r="S179" s="587">
        <v>0</v>
      </c>
      <c r="T179" s="587">
        <v>15.751324789199998</v>
      </c>
      <c r="U179" s="574"/>
      <c r="V179" s="574"/>
      <c r="W179" s="574"/>
      <c r="X179" s="574"/>
      <c r="Y179" s="574"/>
      <c r="Z179" s="574"/>
      <c r="AA179" s="574"/>
      <c r="AB179" s="574"/>
      <c r="AC179" s="574"/>
      <c r="AD179" s="587">
        <v>14.29312829694655</v>
      </c>
      <c r="AE179" s="574"/>
      <c r="AF179" s="574"/>
      <c r="AG179" s="574"/>
      <c r="AH179" s="574"/>
      <c r="AI179" s="574"/>
      <c r="AJ179" s="574"/>
      <c r="AK179" s="574"/>
      <c r="AL179" s="574"/>
      <c r="AM179" s="574"/>
      <c r="AN179" s="573">
        <f>IF(S179=0,0,(AD179-S179)/S179*100)</f>
        <v>0</v>
      </c>
      <c r="AO179" s="574"/>
      <c r="AP179" s="574"/>
      <c r="AQ179" s="574"/>
      <c r="AR179" s="574"/>
      <c r="AS179" s="574"/>
      <c r="AT179" s="574"/>
      <c r="AU179" s="574"/>
      <c r="AV179" s="574"/>
      <c r="AW179" s="574"/>
      <c r="AX179" s="565"/>
      <c r="AY179" s="565"/>
      <c r="AZ179" s="565"/>
    </row>
    <row r="180" spans="1:52" ht="33.75" outlineLevel="1" x14ac:dyDescent="0.25">
      <c r="A180" s="557" t="str">
        <f t="shared" si="39"/>
        <v>2</v>
      </c>
      <c r="B180" s="595" t="s">
        <v>691</v>
      </c>
      <c r="C180" s="567"/>
      <c r="D180" s="567" t="s">
        <v>692</v>
      </c>
      <c r="L180" s="568" t="s">
        <v>693</v>
      </c>
      <c r="M180" s="578" t="s">
        <v>694</v>
      </c>
      <c r="N180" s="570" t="s">
        <v>106</v>
      </c>
      <c r="O180" s="587">
        <v>0</v>
      </c>
      <c r="P180" s="587">
        <v>1.1100000000000001</v>
      </c>
      <c r="Q180" s="587">
        <v>0</v>
      </c>
      <c r="R180" s="573">
        <v>-1.1100000000000001</v>
      </c>
      <c r="S180" s="587">
        <v>0</v>
      </c>
      <c r="T180" s="587">
        <v>1.1200000000000001</v>
      </c>
      <c r="U180" s="574"/>
      <c r="V180" s="574"/>
      <c r="W180" s="574"/>
      <c r="X180" s="574"/>
      <c r="Y180" s="574"/>
      <c r="Z180" s="574"/>
      <c r="AA180" s="574"/>
      <c r="AB180" s="574"/>
      <c r="AC180" s="574"/>
      <c r="AD180" s="587">
        <v>0</v>
      </c>
      <c r="AE180" s="574"/>
      <c r="AF180" s="574"/>
      <c r="AG180" s="574"/>
      <c r="AH180" s="574"/>
      <c r="AI180" s="574"/>
      <c r="AJ180" s="574"/>
      <c r="AK180" s="574"/>
      <c r="AL180" s="574"/>
      <c r="AM180" s="574"/>
      <c r="AN180" s="573">
        <f t="shared" si="40"/>
        <v>0</v>
      </c>
      <c r="AO180" s="574"/>
      <c r="AP180" s="574"/>
      <c r="AQ180" s="574"/>
      <c r="AR180" s="574"/>
      <c r="AS180" s="574"/>
      <c r="AT180" s="574"/>
      <c r="AU180" s="574"/>
      <c r="AV180" s="574"/>
      <c r="AW180" s="574"/>
      <c r="AX180" s="565"/>
      <c r="AY180" s="565"/>
      <c r="AZ180" s="565"/>
    </row>
    <row r="181" spans="1:52" ht="15" outlineLevel="1" x14ac:dyDescent="0.25">
      <c r="A181" s="557" t="str">
        <f t="shared" si="39"/>
        <v>2</v>
      </c>
      <c r="B181" s="595" t="s">
        <v>695</v>
      </c>
      <c r="C181" s="567"/>
      <c r="D181" s="567" t="s">
        <v>696</v>
      </c>
      <c r="L181" s="568" t="s">
        <v>697</v>
      </c>
      <c r="M181" s="578" t="s">
        <v>698</v>
      </c>
      <c r="N181" s="570" t="s">
        <v>106</v>
      </c>
      <c r="O181" s="587">
        <v>0</v>
      </c>
      <c r="P181" s="587">
        <v>1</v>
      </c>
      <c r="Q181" s="587">
        <v>0</v>
      </c>
      <c r="R181" s="573">
        <v>-1</v>
      </c>
      <c r="S181" s="587">
        <v>0</v>
      </c>
      <c r="T181" s="587">
        <v>1</v>
      </c>
      <c r="U181" s="574"/>
      <c r="V181" s="574"/>
      <c r="W181" s="574"/>
      <c r="X181" s="574"/>
      <c r="Y181" s="574"/>
      <c r="Z181" s="574"/>
      <c r="AA181" s="574"/>
      <c r="AB181" s="574"/>
      <c r="AC181" s="574"/>
      <c r="AD181" s="587">
        <v>1</v>
      </c>
      <c r="AE181" s="574"/>
      <c r="AF181" s="574"/>
      <c r="AG181" s="574"/>
      <c r="AH181" s="574"/>
      <c r="AI181" s="574"/>
      <c r="AJ181" s="574"/>
      <c r="AK181" s="574"/>
      <c r="AL181" s="574"/>
      <c r="AM181" s="574"/>
      <c r="AN181" s="573">
        <f t="shared" si="40"/>
        <v>0</v>
      </c>
      <c r="AO181" s="574"/>
      <c r="AP181" s="574"/>
      <c r="AQ181" s="574"/>
      <c r="AR181" s="574"/>
      <c r="AS181" s="574"/>
      <c r="AT181" s="574"/>
      <c r="AU181" s="574"/>
      <c r="AV181" s="574"/>
      <c r="AW181" s="574"/>
      <c r="AX181" s="565"/>
      <c r="AY181" s="565"/>
      <c r="AZ181" s="565"/>
    </row>
    <row r="182" spans="1:52" ht="15" outlineLevel="1" x14ac:dyDescent="0.25">
      <c r="A182" s="557" t="str">
        <f t="shared" si="39"/>
        <v>2</v>
      </c>
      <c r="B182" s="595" t="s">
        <v>699</v>
      </c>
      <c r="C182" s="567"/>
      <c r="D182" s="567" t="s">
        <v>700</v>
      </c>
      <c r="L182" s="568" t="s">
        <v>701</v>
      </c>
      <c r="M182" s="578" t="s">
        <v>702</v>
      </c>
      <c r="N182" s="570" t="s">
        <v>106</v>
      </c>
      <c r="O182" s="587">
        <v>0</v>
      </c>
      <c r="P182" s="587">
        <v>0.28000000000000003</v>
      </c>
      <c r="Q182" s="587">
        <v>0</v>
      </c>
      <c r="R182" s="573">
        <v>-0.28000000000000003</v>
      </c>
      <c r="S182" s="587">
        <v>0</v>
      </c>
      <c r="T182" s="587">
        <v>0.31</v>
      </c>
      <c r="U182" s="574"/>
      <c r="V182" s="574"/>
      <c r="W182" s="574"/>
      <c r="X182" s="574"/>
      <c r="Y182" s="574"/>
      <c r="Z182" s="574"/>
      <c r="AA182" s="574"/>
      <c r="AB182" s="574"/>
      <c r="AC182" s="574"/>
      <c r="AD182" s="587">
        <v>0.31</v>
      </c>
      <c r="AE182" s="574"/>
      <c r="AF182" s="574"/>
      <c r="AG182" s="574"/>
      <c r="AH182" s="574"/>
      <c r="AI182" s="574"/>
      <c r="AJ182" s="574"/>
      <c r="AK182" s="574"/>
      <c r="AL182" s="574"/>
      <c r="AM182" s="574"/>
      <c r="AN182" s="573">
        <f t="shared" si="40"/>
        <v>0</v>
      </c>
      <c r="AO182" s="574"/>
      <c r="AP182" s="574"/>
      <c r="AQ182" s="574"/>
      <c r="AR182" s="574"/>
      <c r="AS182" s="574"/>
      <c r="AT182" s="574"/>
      <c r="AU182" s="574"/>
      <c r="AV182" s="574"/>
      <c r="AW182" s="574"/>
      <c r="AX182" s="565"/>
      <c r="AY182" s="565"/>
      <c r="AZ182" s="565"/>
    </row>
    <row r="183" spans="1:52" ht="15" outlineLevel="1" x14ac:dyDescent="0.25">
      <c r="A183" s="557" t="str">
        <f t="shared" si="39"/>
        <v>2</v>
      </c>
      <c r="B183" s="595" t="s">
        <v>703</v>
      </c>
      <c r="C183" s="567"/>
      <c r="D183" s="567" t="s">
        <v>704</v>
      </c>
      <c r="L183" s="568" t="s">
        <v>705</v>
      </c>
      <c r="M183" s="578" t="s">
        <v>706</v>
      </c>
      <c r="N183" s="570" t="s">
        <v>106</v>
      </c>
      <c r="O183" s="587">
        <v>0</v>
      </c>
      <c r="P183" s="587">
        <v>0</v>
      </c>
      <c r="Q183" s="587">
        <v>0</v>
      </c>
      <c r="R183" s="573">
        <v>0</v>
      </c>
      <c r="S183" s="587">
        <v>0</v>
      </c>
      <c r="T183" s="587">
        <v>0</v>
      </c>
      <c r="U183" s="574"/>
      <c r="V183" s="574"/>
      <c r="W183" s="574"/>
      <c r="X183" s="574"/>
      <c r="Y183" s="574"/>
      <c r="Z183" s="574"/>
      <c r="AA183" s="574"/>
      <c r="AB183" s="574"/>
      <c r="AC183" s="574"/>
      <c r="AD183" s="587">
        <v>0</v>
      </c>
      <c r="AE183" s="574"/>
      <c r="AF183" s="574"/>
      <c r="AG183" s="574"/>
      <c r="AH183" s="574"/>
      <c r="AI183" s="574"/>
      <c r="AJ183" s="574"/>
      <c r="AK183" s="574"/>
      <c r="AL183" s="574"/>
      <c r="AM183" s="574"/>
      <c r="AN183" s="573">
        <f t="shared" si="40"/>
        <v>0</v>
      </c>
      <c r="AO183" s="574"/>
      <c r="AP183" s="574"/>
      <c r="AQ183" s="574"/>
      <c r="AR183" s="574"/>
      <c r="AS183" s="574"/>
      <c r="AT183" s="574"/>
      <c r="AU183" s="574"/>
      <c r="AV183" s="574"/>
      <c r="AW183" s="574"/>
      <c r="AX183" s="565"/>
      <c r="AY183" s="565"/>
      <c r="AZ183" s="565"/>
    </row>
    <row r="184" spans="1:52" ht="15" outlineLevel="1" x14ac:dyDescent="0.25">
      <c r="A184" s="557" t="str">
        <f t="shared" si="39"/>
        <v>2</v>
      </c>
      <c r="B184" s="595" t="s">
        <v>707</v>
      </c>
      <c r="C184" s="567"/>
      <c r="D184" s="567" t="s">
        <v>708</v>
      </c>
      <c r="L184" s="568" t="s">
        <v>709</v>
      </c>
      <c r="M184" s="578" t="s">
        <v>710</v>
      </c>
      <c r="N184" s="570" t="s">
        <v>106</v>
      </c>
      <c r="O184" s="587">
        <v>0</v>
      </c>
      <c r="P184" s="587">
        <v>6.6000000000000005</v>
      </c>
      <c r="Q184" s="587">
        <v>0</v>
      </c>
      <c r="R184" s="573">
        <v>-6.6000000000000005</v>
      </c>
      <c r="S184" s="587">
        <v>0</v>
      </c>
      <c r="T184" s="587">
        <v>9.61</v>
      </c>
      <c r="U184" s="574"/>
      <c r="V184" s="574"/>
      <c r="W184" s="574"/>
      <c r="X184" s="574"/>
      <c r="Y184" s="574"/>
      <c r="Z184" s="574"/>
      <c r="AA184" s="574"/>
      <c r="AB184" s="574"/>
      <c r="AC184" s="574"/>
      <c r="AD184" s="587">
        <v>8.1051746304000005</v>
      </c>
      <c r="AE184" s="574"/>
      <c r="AF184" s="574"/>
      <c r="AG184" s="574"/>
      <c r="AH184" s="574"/>
      <c r="AI184" s="574"/>
      <c r="AJ184" s="574"/>
      <c r="AK184" s="574"/>
      <c r="AL184" s="574"/>
      <c r="AM184" s="574"/>
      <c r="AN184" s="573">
        <f t="shared" si="40"/>
        <v>0</v>
      </c>
      <c r="AO184" s="574"/>
      <c r="AP184" s="574"/>
      <c r="AQ184" s="574"/>
      <c r="AR184" s="574"/>
      <c r="AS184" s="574"/>
      <c r="AT184" s="574"/>
      <c r="AU184" s="574"/>
      <c r="AV184" s="574"/>
      <c r="AW184" s="574"/>
      <c r="AX184" s="565"/>
      <c r="AY184" s="565"/>
      <c r="AZ184" s="565"/>
    </row>
    <row r="185" spans="1:52" ht="15" outlineLevel="1" x14ac:dyDescent="0.25">
      <c r="A185" s="557" t="str">
        <f t="shared" si="39"/>
        <v>2</v>
      </c>
      <c r="B185" s="595" t="s">
        <v>711</v>
      </c>
      <c r="C185" s="567"/>
      <c r="D185" s="567" t="s">
        <v>712</v>
      </c>
      <c r="L185" s="568" t="s">
        <v>713</v>
      </c>
      <c r="M185" s="584" t="s">
        <v>714</v>
      </c>
      <c r="N185" s="570" t="s">
        <v>106</v>
      </c>
      <c r="O185" s="587">
        <v>0</v>
      </c>
      <c r="P185" s="587">
        <v>1.87</v>
      </c>
      <c r="Q185" s="587">
        <v>0</v>
      </c>
      <c r="R185" s="573">
        <v>-1.87</v>
      </c>
      <c r="S185" s="587">
        <v>0</v>
      </c>
      <c r="T185" s="587">
        <v>1.87</v>
      </c>
      <c r="U185" s="574"/>
      <c r="V185" s="574"/>
      <c r="W185" s="574"/>
      <c r="X185" s="574"/>
      <c r="Y185" s="574"/>
      <c r="Z185" s="574"/>
      <c r="AA185" s="574"/>
      <c r="AB185" s="574"/>
      <c r="AC185" s="574"/>
      <c r="AD185" s="587">
        <v>0.36517463040000003</v>
      </c>
      <c r="AE185" s="574"/>
      <c r="AF185" s="574"/>
      <c r="AG185" s="574"/>
      <c r="AH185" s="574"/>
      <c r="AI185" s="574"/>
      <c r="AJ185" s="574"/>
      <c r="AK185" s="574"/>
      <c r="AL185" s="574"/>
      <c r="AM185" s="574"/>
      <c r="AN185" s="573">
        <f t="shared" si="40"/>
        <v>0</v>
      </c>
      <c r="AO185" s="574"/>
      <c r="AP185" s="574"/>
      <c r="AQ185" s="574"/>
      <c r="AR185" s="574"/>
      <c r="AS185" s="574"/>
      <c r="AT185" s="574"/>
      <c r="AU185" s="574"/>
      <c r="AV185" s="574"/>
      <c r="AW185" s="574"/>
      <c r="AX185" s="565"/>
      <c r="AY185" s="565"/>
      <c r="AZ185" s="565"/>
    </row>
    <row r="186" spans="1:52" ht="15" outlineLevel="1" x14ac:dyDescent="0.25">
      <c r="A186" s="557" t="str">
        <f t="shared" si="39"/>
        <v>2</v>
      </c>
      <c r="B186" s="595" t="s">
        <v>715</v>
      </c>
      <c r="C186" s="567"/>
      <c r="D186" s="567" t="s">
        <v>716</v>
      </c>
      <c r="L186" s="568" t="s">
        <v>717</v>
      </c>
      <c r="M186" s="584" t="s">
        <v>718</v>
      </c>
      <c r="N186" s="570" t="s">
        <v>106</v>
      </c>
      <c r="O186" s="587">
        <v>0</v>
      </c>
      <c r="P186" s="587">
        <v>0</v>
      </c>
      <c r="Q186" s="587">
        <v>0</v>
      </c>
      <c r="R186" s="573">
        <v>0</v>
      </c>
      <c r="S186" s="587">
        <v>0</v>
      </c>
      <c r="T186" s="587">
        <v>0</v>
      </c>
      <c r="U186" s="574"/>
      <c r="V186" s="574"/>
      <c r="W186" s="574"/>
      <c r="X186" s="574"/>
      <c r="Y186" s="574"/>
      <c r="Z186" s="574"/>
      <c r="AA186" s="574"/>
      <c r="AB186" s="574"/>
      <c r="AC186" s="574"/>
      <c r="AD186" s="587">
        <v>0</v>
      </c>
      <c r="AE186" s="574"/>
      <c r="AF186" s="574"/>
      <c r="AG186" s="574"/>
      <c r="AH186" s="574"/>
      <c r="AI186" s="574"/>
      <c r="AJ186" s="574"/>
      <c r="AK186" s="574"/>
      <c r="AL186" s="574"/>
      <c r="AM186" s="574"/>
      <c r="AN186" s="573">
        <f t="shared" si="40"/>
        <v>0</v>
      </c>
      <c r="AO186" s="574"/>
      <c r="AP186" s="574"/>
      <c r="AQ186" s="574"/>
      <c r="AR186" s="574"/>
      <c r="AS186" s="574"/>
      <c r="AT186" s="574"/>
      <c r="AU186" s="574"/>
      <c r="AV186" s="574"/>
      <c r="AW186" s="574"/>
      <c r="AX186" s="565"/>
      <c r="AY186" s="565"/>
      <c r="AZ186" s="565"/>
    </row>
    <row r="187" spans="1:52" ht="12.75" outlineLevel="1" x14ac:dyDescent="0.2">
      <c r="A187" s="557" t="str">
        <f t="shared" si="39"/>
        <v>2</v>
      </c>
      <c r="B187" s="537" t="s">
        <v>719</v>
      </c>
      <c r="C187" s="567"/>
      <c r="D187" s="567" t="s">
        <v>720</v>
      </c>
      <c r="L187" s="568" t="s">
        <v>721</v>
      </c>
      <c r="M187" s="581" t="s">
        <v>722</v>
      </c>
      <c r="N187" s="570" t="s">
        <v>106</v>
      </c>
      <c r="O187" s="587">
        <v>0</v>
      </c>
      <c r="P187" s="587">
        <v>4.7300000000000004</v>
      </c>
      <c r="Q187" s="587">
        <v>0</v>
      </c>
      <c r="R187" s="573">
        <v>-4.7300000000000004</v>
      </c>
      <c r="S187" s="587">
        <v>0</v>
      </c>
      <c r="T187" s="587">
        <v>7.74</v>
      </c>
      <c r="U187" s="574"/>
      <c r="V187" s="574"/>
      <c r="W187" s="574"/>
      <c r="X187" s="574"/>
      <c r="Y187" s="574"/>
      <c r="Z187" s="574"/>
      <c r="AA187" s="574"/>
      <c r="AB187" s="574"/>
      <c r="AC187" s="574"/>
      <c r="AD187" s="587">
        <v>7.74</v>
      </c>
      <c r="AE187" s="574"/>
      <c r="AF187" s="574"/>
      <c r="AG187" s="574"/>
      <c r="AH187" s="574"/>
      <c r="AI187" s="574"/>
      <c r="AJ187" s="574"/>
      <c r="AK187" s="574"/>
      <c r="AL187" s="574"/>
      <c r="AM187" s="574"/>
      <c r="AN187" s="573">
        <f>IF(S187=0,0,(AD187-S187)/S187*100)</f>
        <v>0</v>
      </c>
      <c r="AO187" s="574"/>
      <c r="AP187" s="574"/>
      <c r="AQ187" s="574"/>
      <c r="AR187" s="574"/>
      <c r="AS187" s="574"/>
      <c r="AT187" s="574"/>
      <c r="AU187" s="574"/>
      <c r="AV187" s="574"/>
      <c r="AW187" s="574"/>
      <c r="AX187" s="565"/>
      <c r="AY187" s="565"/>
      <c r="AZ187" s="565"/>
    </row>
    <row r="188" spans="1:52" ht="22.5" hidden="1" outlineLevel="1" x14ac:dyDescent="0.2">
      <c r="A188" s="557" t="str">
        <f t="shared" si="39"/>
        <v>2</v>
      </c>
      <c r="C188" s="567"/>
      <c r="D188" s="567" t="s">
        <v>723</v>
      </c>
      <c r="L188" s="568" t="s">
        <v>23</v>
      </c>
      <c r="M188" s="569" t="s">
        <v>724</v>
      </c>
      <c r="N188" s="570" t="s">
        <v>106</v>
      </c>
      <c r="O188" s="587">
        <v>0</v>
      </c>
      <c r="P188" s="587">
        <v>0</v>
      </c>
      <c r="Q188" s="587">
        <v>0</v>
      </c>
      <c r="R188" s="573">
        <v>0</v>
      </c>
      <c r="S188" s="587">
        <v>0</v>
      </c>
      <c r="T188" s="587">
        <v>0</v>
      </c>
      <c r="U188" s="574"/>
      <c r="V188" s="574"/>
      <c r="W188" s="574"/>
      <c r="X188" s="574"/>
      <c r="Y188" s="574"/>
      <c r="Z188" s="574"/>
      <c r="AA188" s="574"/>
      <c r="AB188" s="574"/>
      <c r="AC188" s="574"/>
      <c r="AD188" s="587">
        <v>0</v>
      </c>
      <c r="AE188" s="574"/>
      <c r="AF188" s="574"/>
      <c r="AG188" s="574"/>
      <c r="AH188" s="574"/>
      <c r="AI188" s="574"/>
      <c r="AJ188" s="574"/>
      <c r="AK188" s="574"/>
      <c r="AL188" s="574"/>
      <c r="AM188" s="574"/>
      <c r="AN188" s="573">
        <f>IF(S188=0,0,(AD188-S188)/S188*100)</f>
        <v>0</v>
      </c>
      <c r="AO188" s="574"/>
      <c r="AP188" s="574"/>
      <c r="AQ188" s="574"/>
      <c r="AR188" s="574"/>
      <c r="AS188" s="574"/>
      <c r="AT188" s="574"/>
      <c r="AU188" s="574"/>
      <c r="AV188" s="574"/>
      <c r="AW188" s="574"/>
      <c r="AX188" s="565"/>
      <c r="AY188" s="565"/>
      <c r="AZ188" s="565"/>
    </row>
    <row r="189" spans="1:52" ht="11.25" outlineLevel="1" x14ac:dyDescent="0.2">
      <c r="A189" s="557" t="str">
        <f t="shared" si="39"/>
        <v>2</v>
      </c>
      <c r="C189" s="567"/>
      <c r="D189" s="567" t="s">
        <v>725</v>
      </c>
      <c r="L189" s="568" t="s">
        <v>25</v>
      </c>
      <c r="M189" s="569" t="s">
        <v>726</v>
      </c>
      <c r="N189" s="570" t="s">
        <v>106</v>
      </c>
      <c r="O189" s="583"/>
      <c r="P189" s="583"/>
      <c r="Q189" s="583"/>
      <c r="R189" s="573">
        <v>0</v>
      </c>
      <c r="S189" s="583"/>
      <c r="T189" s="583"/>
      <c r="U189" s="574"/>
      <c r="V189" s="574"/>
      <c r="W189" s="574"/>
      <c r="X189" s="574"/>
      <c r="Y189" s="574"/>
      <c r="Z189" s="574"/>
      <c r="AA189" s="574"/>
      <c r="AB189" s="574"/>
      <c r="AC189" s="574"/>
      <c r="AD189" s="583"/>
      <c r="AE189" s="574"/>
      <c r="AF189" s="574"/>
      <c r="AG189" s="574"/>
      <c r="AH189" s="574"/>
      <c r="AI189" s="574"/>
      <c r="AJ189" s="574"/>
      <c r="AK189" s="574"/>
      <c r="AL189" s="574"/>
      <c r="AM189" s="574"/>
      <c r="AN189" s="573">
        <f t="shared" si="40"/>
        <v>0</v>
      </c>
      <c r="AO189" s="574"/>
      <c r="AP189" s="574"/>
      <c r="AQ189" s="574"/>
      <c r="AR189" s="574"/>
      <c r="AS189" s="574"/>
      <c r="AT189" s="574"/>
      <c r="AU189" s="574"/>
      <c r="AV189" s="574"/>
      <c r="AW189" s="574"/>
      <c r="AX189" s="565"/>
      <c r="AY189" s="565"/>
      <c r="AZ189" s="565"/>
    </row>
    <row r="190" spans="1:52" s="590" customFormat="1" ht="11.25" outlineLevel="1" x14ac:dyDescent="0.2">
      <c r="A190" s="557" t="str">
        <f t="shared" si="39"/>
        <v>2</v>
      </c>
      <c r="C190" s="567"/>
      <c r="D190" s="567" t="s">
        <v>727</v>
      </c>
      <c r="L190" s="591" t="s">
        <v>62</v>
      </c>
      <c r="M190" s="592" t="s">
        <v>728</v>
      </c>
      <c r="N190" s="593" t="s">
        <v>106</v>
      </c>
      <c r="O190" s="594">
        <v>0</v>
      </c>
      <c r="P190" s="594">
        <v>0</v>
      </c>
      <c r="Q190" s="594">
        <v>0</v>
      </c>
      <c r="R190" s="563">
        <v>0</v>
      </c>
      <c r="S190" s="594">
        <v>0</v>
      </c>
      <c r="T190" s="594">
        <v>0</v>
      </c>
      <c r="U190" s="576"/>
      <c r="V190" s="576"/>
      <c r="W190" s="576"/>
      <c r="X190" s="576"/>
      <c r="Y190" s="576"/>
      <c r="Z190" s="576"/>
      <c r="AA190" s="576"/>
      <c r="AB190" s="576"/>
      <c r="AC190" s="576"/>
      <c r="AD190" s="594">
        <v>0</v>
      </c>
      <c r="AE190" s="576"/>
      <c r="AF190" s="576"/>
      <c r="AG190" s="576"/>
      <c r="AH190" s="576"/>
      <c r="AI190" s="576"/>
      <c r="AJ190" s="576"/>
      <c r="AK190" s="576"/>
      <c r="AL190" s="576"/>
      <c r="AM190" s="576"/>
      <c r="AN190" s="563">
        <f>IF(S190=0,0,(AD190-S190)/S190*100)</f>
        <v>0</v>
      </c>
      <c r="AO190" s="576"/>
      <c r="AP190" s="576"/>
      <c r="AQ190" s="576"/>
      <c r="AR190" s="576"/>
      <c r="AS190" s="576"/>
      <c r="AT190" s="576"/>
      <c r="AU190" s="576"/>
      <c r="AV190" s="576"/>
      <c r="AW190" s="576"/>
      <c r="AX190" s="577"/>
      <c r="AY190" s="577"/>
      <c r="AZ190" s="577"/>
    </row>
    <row r="191" spans="1:52" ht="11.25" hidden="1" outlineLevel="1" x14ac:dyDescent="0.2">
      <c r="A191" s="557" t="str">
        <f t="shared" si="39"/>
        <v>2</v>
      </c>
      <c r="L191" s="568" t="s">
        <v>729</v>
      </c>
      <c r="M191" s="569"/>
      <c r="N191" s="570"/>
      <c r="O191" s="574"/>
      <c r="P191" s="574"/>
      <c r="Q191" s="574"/>
      <c r="R191" s="574"/>
      <c r="S191" s="574"/>
      <c r="T191" s="574"/>
      <c r="U191" s="574"/>
      <c r="V191" s="574"/>
      <c r="W191" s="574"/>
      <c r="X191" s="574"/>
      <c r="Y191" s="574"/>
      <c r="Z191" s="574"/>
      <c r="AA191" s="574"/>
      <c r="AB191" s="574"/>
      <c r="AC191" s="574"/>
      <c r="AD191" s="574"/>
      <c r="AE191" s="574"/>
      <c r="AF191" s="574"/>
      <c r="AG191" s="574"/>
      <c r="AH191" s="574"/>
      <c r="AI191" s="574"/>
      <c r="AJ191" s="574"/>
      <c r="AK191" s="574"/>
      <c r="AL191" s="574"/>
      <c r="AM191" s="574"/>
      <c r="AN191" s="574"/>
      <c r="AO191" s="574"/>
      <c r="AP191" s="574"/>
      <c r="AQ191" s="574"/>
      <c r="AR191" s="574"/>
      <c r="AS191" s="574"/>
      <c r="AT191" s="574"/>
      <c r="AU191" s="574"/>
      <c r="AV191" s="574"/>
      <c r="AW191" s="574"/>
      <c r="AX191" s="597"/>
      <c r="AY191" s="597"/>
      <c r="AZ191" s="597"/>
    </row>
    <row r="192" spans="1:52" ht="15" outlineLevel="1" x14ac:dyDescent="0.2">
      <c r="A192" s="557" t="str">
        <f t="shared" si="39"/>
        <v>2</v>
      </c>
      <c r="B192" s="598"/>
      <c r="D192" s="537" t="str">
        <f>A192&amp;"pIns1"</f>
        <v>2pIns1</v>
      </c>
      <c r="L192" s="599"/>
      <c r="M192" s="600" t="s">
        <v>730</v>
      </c>
      <c r="N192" s="601"/>
      <c r="O192" s="601"/>
      <c r="P192" s="601"/>
      <c r="Q192" s="601"/>
      <c r="R192" s="601"/>
      <c r="S192" s="601"/>
      <c r="T192" s="601"/>
      <c r="U192" s="601"/>
      <c r="V192" s="601"/>
      <c r="W192" s="601"/>
      <c r="X192" s="601"/>
      <c r="Y192" s="601"/>
      <c r="Z192" s="601"/>
      <c r="AA192" s="601"/>
      <c r="AB192" s="601"/>
      <c r="AC192" s="601"/>
      <c r="AD192" s="601"/>
      <c r="AE192" s="601"/>
      <c r="AF192" s="601"/>
      <c r="AG192" s="601"/>
      <c r="AH192" s="601"/>
      <c r="AI192" s="601"/>
      <c r="AJ192" s="601"/>
      <c r="AK192" s="601"/>
      <c r="AL192" s="601"/>
      <c r="AM192" s="601"/>
      <c r="AN192" s="601"/>
      <c r="AO192" s="601"/>
      <c r="AP192" s="601"/>
      <c r="AQ192" s="601"/>
      <c r="AR192" s="601"/>
      <c r="AS192" s="601"/>
      <c r="AT192" s="601"/>
      <c r="AU192" s="601"/>
      <c r="AV192" s="601"/>
      <c r="AW192" s="601"/>
      <c r="AX192" s="601"/>
      <c r="AY192" s="601"/>
      <c r="AZ192" s="602"/>
    </row>
    <row r="193" spans="1:53" s="590" customFormat="1" ht="11.25" outlineLevel="1" x14ac:dyDescent="0.2">
      <c r="A193" s="557" t="str">
        <f t="shared" si="39"/>
        <v>2</v>
      </c>
      <c r="C193" s="537"/>
      <c r="D193" s="537" t="s">
        <v>731</v>
      </c>
      <c r="L193" s="560" t="s">
        <v>102</v>
      </c>
      <c r="M193" s="561" t="s">
        <v>121</v>
      </c>
      <c r="N193" s="562" t="s">
        <v>106</v>
      </c>
      <c r="O193" s="594">
        <v>4.3100000000000005</v>
      </c>
      <c r="P193" s="594">
        <v>0</v>
      </c>
      <c r="Q193" s="594">
        <v>0</v>
      </c>
      <c r="R193" s="563">
        <v>0</v>
      </c>
      <c r="S193" s="594">
        <v>0</v>
      </c>
      <c r="T193" s="594">
        <v>0.2</v>
      </c>
      <c r="U193" s="594">
        <v>0.2</v>
      </c>
      <c r="V193" s="594">
        <v>0.3</v>
      </c>
      <c r="W193" s="594">
        <v>0.3</v>
      </c>
      <c r="X193" s="594">
        <v>0.3</v>
      </c>
      <c r="Y193" s="594">
        <v>0</v>
      </c>
      <c r="Z193" s="594">
        <v>0</v>
      </c>
      <c r="AA193" s="594">
        <v>0</v>
      </c>
      <c r="AB193" s="594">
        <v>0</v>
      </c>
      <c r="AC193" s="594">
        <v>0</v>
      </c>
      <c r="AD193" s="594">
        <v>3.8112458088703596</v>
      </c>
      <c r="AE193" s="594">
        <v>3.98</v>
      </c>
      <c r="AF193" s="594">
        <v>4.21</v>
      </c>
      <c r="AG193" s="594">
        <v>4.34</v>
      </c>
      <c r="AH193" s="594">
        <v>4.58</v>
      </c>
      <c r="AI193" s="594" t="e">
        <f t="shared" ref="AI193:AM193" si="41">AI194+AI205+AI206++AI216+AI217+AI218+AI220+AI221+AI222+AI223+AI226</f>
        <v>#VALUE!</v>
      </c>
      <c r="AJ193" s="594" t="e">
        <f t="shared" si="41"/>
        <v>#VALUE!</v>
      </c>
      <c r="AK193" s="594" t="e">
        <f t="shared" si="41"/>
        <v>#VALUE!</v>
      </c>
      <c r="AL193" s="594" t="e">
        <f t="shared" si="41"/>
        <v>#VALUE!</v>
      </c>
      <c r="AM193" s="594" t="e">
        <f t="shared" si="41"/>
        <v>#VALUE!</v>
      </c>
      <c r="AN193" s="563">
        <f t="shared" ref="AN193:AN199" si="42">IF(S193=0,0,(AD193-S193)/S193*100)</f>
        <v>0</v>
      </c>
      <c r="AO193" s="563">
        <f t="shared" ref="AO193:AW208" si="43">IF(AD193=0,0,(AE193-AD193)/AD193*100)</f>
        <v>4.4277960434060422</v>
      </c>
      <c r="AP193" s="563">
        <f t="shared" si="43"/>
        <v>5.7788944723618085</v>
      </c>
      <c r="AQ193" s="563">
        <f t="shared" si="43"/>
        <v>3.0878859857482159</v>
      </c>
      <c r="AR193" s="563">
        <f t="shared" si="43"/>
        <v>5.5299539170506966</v>
      </c>
      <c r="AS193" s="563" t="e">
        <f t="shared" si="43"/>
        <v>#VALUE!</v>
      </c>
      <c r="AT193" s="563" t="e">
        <f t="shared" si="43"/>
        <v>#VALUE!</v>
      </c>
      <c r="AU193" s="563" t="e">
        <f t="shared" si="43"/>
        <v>#VALUE!</v>
      </c>
      <c r="AV193" s="563" t="e">
        <f t="shared" si="43"/>
        <v>#VALUE!</v>
      </c>
      <c r="AW193" s="563" t="e">
        <f t="shared" si="43"/>
        <v>#VALUE!</v>
      </c>
      <c r="AX193" s="565"/>
      <c r="AY193" s="565"/>
      <c r="AZ193" s="565"/>
      <c r="BA193" s="566"/>
    </row>
    <row r="194" spans="1:53" s="590" customFormat="1" ht="22.5" hidden="1" outlineLevel="1" x14ac:dyDescent="0.2">
      <c r="A194" s="557" t="str">
        <f t="shared" si="39"/>
        <v>2</v>
      </c>
      <c r="C194" s="537"/>
      <c r="D194" s="537" t="s">
        <v>732</v>
      </c>
      <c r="L194" s="591" t="s">
        <v>478</v>
      </c>
      <c r="M194" s="592" t="s">
        <v>123</v>
      </c>
      <c r="N194" s="593" t="s">
        <v>106</v>
      </c>
      <c r="O194" s="594">
        <v>0</v>
      </c>
      <c r="P194" s="563">
        <v>0</v>
      </c>
      <c r="Q194" s="563">
        <v>0</v>
      </c>
      <c r="R194" s="563">
        <v>0</v>
      </c>
      <c r="S194" s="563">
        <v>0</v>
      </c>
      <c r="T194" s="594">
        <v>0</v>
      </c>
      <c r="U194" s="563">
        <v>0</v>
      </c>
      <c r="V194" s="563">
        <v>0</v>
      </c>
      <c r="W194" s="563">
        <v>0</v>
      </c>
      <c r="X194" s="563">
        <v>0</v>
      </c>
      <c r="Y194" s="563">
        <v>0</v>
      </c>
      <c r="Z194" s="563">
        <v>0</v>
      </c>
      <c r="AA194" s="563">
        <v>0</v>
      </c>
      <c r="AB194" s="563">
        <v>0</v>
      </c>
      <c r="AC194" s="563">
        <v>0</v>
      </c>
      <c r="AD194" s="594">
        <v>0</v>
      </c>
      <c r="AE194" s="563">
        <v>0</v>
      </c>
      <c r="AF194" s="563">
        <v>0</v>
      </c>
      <c r="AG194" s="563">
        <v>0</v>
      </c>
      <c r="AH194" s="563">
        <v>0</v>
      </c>
      <c r="AI194" s="563">
        <f t="shared" ref="AI194:AM194" si="44">SUM(AI195:AI204)</f>
        <v>0</v>
      </c>
      <c r="AJ194" s="563">
        <f t="shared" si="44"/>
        <v>0</v>
      </c>
      <c r="AK194" s="563">
        <f t="shared" si="44"/>
        <v>0</v>
      </c>
      <c r="AL194" s="563">
        <f t="shared" si="44"/>
        <v>0</v>
      </c>
      <c r="AM194" s="563">
        <f t="shared" si="44"/>
        <v>0</v>
      </c>
      <c r="AN194" s="563">
        <f t="shared" si="42"/>
        <v>0</v>
      </c>
      <c r="AO194" s="563">
        <f t="shared" si="43"/>
        <v>0</v>
      </c>
      <c r="AP194" s="563">
        <f t="shared" si="43"/>
        <v>0</v>
      </c>
      <c r="AQ194" s="563">
        <f t="shared" si="43"/>
        <v>0</v>
      </c>
      <c r="AR194" s="563">
        <f t="shared" si="43"/>
        <v>0</v>
      </c>
      <c r="AS194" s="563">
        <f t="shared" si="43"/>
        <v>0</v>
      </c>
      <c r="AT194" s="563">
        <f t="shared" si="43"/>
        <v>0</v>
      </c>
      <c r="AU194" s="563">
        <f t="shared" si="43"/>
        <v>0</v>
      </c>
      <c r="AV194" s="563">
        <f t="shared" si="43"/>
        <v>0</v>
      </c>
      <c r="AW194" s="563">
        <f t="shared" si="43"/>
        <v>0</v>
      </c>
      <c r="AX194" s="577"/>
      <c r="AY194" s="577"/>
      <c r="AZ194" s="577"/>
    </row>
    <row r="195" spans="1:53" ht="11.25" hidden="1" outlineLevel="1" x14ac:dyDescent="0.2">
      <c r="A195" s="557" t="str">
        <f t="shared" si="39"/>
        <v>2</v>
      </c>
      <c r="B195" s="537" t="s">
        <v>733</v>
      </c>
      <c r="D195" s="537" t="s">
        <v>734</v>
      </c>
      <c r="L195" s="568" t="s">
        <v>735</v>
      </c>
      <c r="M195" s="578" t="s">
        <v>736</v>
      </c>
      <c r="N195" s="570" t="s">
        <v>106</v>
      </c>
      <c r="O195" s="573">
        <v>0</v>
      </c>
      <c r="P195" s="573">
        <v>0</v>
      </c>
      <c r="Q195" s="573">
        <v>0</v>
      </c>
      <c r="R195" s="573">
        <v>0</v>
      </c>
      <c r="S195" s="573">
        <v>0</v>
      </c>
      <c r="T195" s="573">
        <v>0</v>
      </c>
      <c r="U195" s="573">
        <v>0</v>
      </c>
      <c r="V195" s="573">
        <v>0</v>
      </c>
      <c r="W195" s="573">
        <v>0</v>
      </c>
      <c r="X195" s="573">
        <v>0</v>
      </c>
      <c r="Y195" s="573">
        <v>0</v>
      </c>
      <c r="Z195" s="573">
        <v>0</v>
      </c>
      <c r="AA195" s="573">
        <v>0</v>
      </c>
      <c r="AB195" s="573">
        <v>0</v>
      </c>
      <c r="AC195" s="573">
        <v>0</v>
      </c>
      <c r="AD195" s="573">
        <v>0</v>
      </c>
      <c r="AE195" s="573">
        <v>0</v>
      </c>
      <c r="AF195" s="573">
        <v>0</v>
      </c>
      <c r="AG195" s="573">
        <v>0</v>
      </c>
      <c r="AH195" s="573">
        <v>0</v>
      </c>
      <c r="AI195" s="573">
        <f>SUMIFS([12]Покупка!AH$15:AH$54,[12]Покупка!$A$15:$A$54,$A195,[12]Покупка!$M$15:$M$54,$B195)</f>
        <v>0</v>
      </c>
      <c r="AJ195" s="573">
        <f>SUMIFS([12]Покупка!AI$15:AI$54,[12]Покупка!$A$15:$A$54,$A195,[12]Покупка!$M$15:$M$54,$B195)</f>
        <v>0</v>
      </c>
      <c r="AK195" s="573">
        <f>SUMIFS([12]Покупка!AJ$15:AJ$54,[12]Покупка!$A$15:$A$54,$A195,[12]Покупка!$M$15:$M$54,$B195)</f>
        <v>0</v>
      </c>
      <c r="AL195" s="573">
        <f>SUMIFS([12]Покупка!AK$15:AK$54,[12]Покупка!$A$15:$A$54,$A195,[12]Покупка!$M$15:$M$54,$B195)</f>
        <v>0</v>
      </c>
      <c r="AM195" s="573">
        <f>SUMIFS([12]Покупка!AL$15:AL$54,[12]Покупка!$A$15:$A$54,$A195,[12]Покупка!$M$15:$M$54,$B195)</f>
        <v>0</v>
      </c>
      <c r="AN195" s="573">
        <f t="shared" si="42"/>
        <v>0</v>
      </c>
      <c r="AO195" s="573">
        <f t="shared" si="43"/>
        <v>0</v>
      </c>
      <c r="AP195" s="573">
        <f t="shared" si="43"/>
        <v>0</v>
      </c>
      <c r="AQ195" s="573">
        <f t="shared" si="43"/>
        <v>0</v>
      </c>
      <c r="AR195" s="573">
        <f t="shared" si="43"/>
        <v>0</v>
      </c>
      <c r="AS195" s="573">
        <f t="shared" si="43"/>
        <v>0</v>
      </c>
      <c r="AT195" s="573">
        <f t="shared" si="43"/>
        <v>0</v>
      </c>
      <c r="AU195" s="573">
        <f t="shared" si="43"/>
        <v>0</v>
      </c>
      <c r="AV195" s="573">
        <f t="shared" si="43"/>
        <v>0</v>
      </c>
      <c r="AW195" s="573">
        <f t="shared" si="43"/>
        <v>0</v>
      </c>
      <c r="AX195" s="565"/>
      <c r="AY195" s="565"/>
      <c r="AZ195" s="565"/>
    </row>
    <row r="196" spans="1:53" ht="11.25" hidden="1" outlineLevel="1" x14ac:dyDescent="0.2">
      <c r="A196" s="557" t="str">
        <f t="shared" si="39"/>
        <v>2</v>
      </c>
      <c r="B196" s="537" t="s">
        <v>737</v>
      </c>
      <c r="D196" s="537" t="s">
        <v>738</v>
      </c>
      <c r="L196" s="568" t="s">
        <v>739</v>
      </c>
      <c r="M196" s="578" t="s">
        <v>740</v>
      </c>
      <c r="N196" s="570" t="s">
        <v>106</v>
      </c>
      <c r="O196" s="573">
        <v>0</v>
      </c>
      <c r="P196" s="573">
        <v>0</v>
      </c>
      <c r="Q196" s="573">
        <v>0</v>
      </c>
      <c r="R196" s="573">
        <v>0</v>
      </c>
      <c r="S196" s="573">
        <v>0</v>
      </c>
      <c r="T196" s="573">
        <v>0</v>
      </c>
      <c r="U196" s="573">
        <v>0</v>
      </c>
      <c r="V196" s="573">
        <v>0</v>
      </c>
      <c r="W196" s="573">
        <v>0</v>
      </c>
      <c r="X196" s="573">
        <v>0</v>
      </c>
      <c r="Y196" s="573">
        <v>0</v>
      </c>
      <c r="Z196" s="573">
        <v>0</v>
      </c>
      <c r="AA196" s="573">
        <v>0</v>
      </c>
      <c r="AB196" s="573">
        <v>0</v>
      </c>
      <c r="AC196" s="573">
        <v>0</v>
      </c>
      <c r="AD196" s="573">
        <v>0</v>
      </c>
      <c r="AE196" s="573">
        <v>0</v>
      </c>
      <c r="AF196" s="573">
        <v>0</v>
      </c>
      <c r="AG196" s="573">
        <v>0</v>
      </c>
      <c r="AH196" s="573">
        <v>0</v>
      </c>
      <c r="AI196" s="573">
        <f>SUMIFS([12]Покупка!AH$15:AH$54,[12]Покупка!$A$15:$A$54,$A196,[12]Покупка!$M$15:$M$54,$B196)</f>
        <v>0</v>
      </c>
      <c r="AJ196" s="573">
        <f>SUMIFS([12]Покупка!AI$15:AI$54,[12]Покупка!$A$15:$A$54,$A196,[12]Покупка!$M$15:$M$54,$B196)</f>
        <v>0</v>
      </c>
      <c r="AK196" s="573">
        <f>SUMIFS([12]Покупка!AJ$15:AJ$54,[12]Покупка!$A$15:$A$54,$A196,[12]Покупка!$M$15:$M$54,$B196)</f>
        <v>0</v>
      </c>
      <c r="AL196" s="573">
        <f>SUMIFS([12]Покупка!AK$15:AK$54,[12]Покупка!$A$15:$A$54,$A196,[12]Покупка!$M$15:$M$54,$B196)</f>
        <v>0</v>
      </c>
      <c r="AM196" s="573">
        <f>SUMIFS([12]Покупка!AL$15:AL$54,[12]Покупка!$A$15:$A$54,$A196,[12]Покупка!$M$15:$M$54,$B196)</f>
        <v>0</v>
      </c>
      <c r="AN196" s="573">
        <f t="shared" si="42"/>
        <v>0</v>
      </c>
      <c r="AO196" s="573">
        <f t="shared" si="43"/>
        <v>0</v>
      </c>
      <c r="AP196" s="573">
        <f t="shared" si="43"/>
        <v>0</v>
      </c>
      <c r="AQ196" s="573">
        <f t="shared" si="43"/>
        <v>0</v>
      </c>
      <c r="AR196" s="573">
        <f t="shared" si="43"/>
        <v>0</v>
      </c>
      <c r="AS196" s="573">
        <f t="shared" si="43"/>
        <v>0</v>
      </c>
      <c r="AT196" s="573">
        <f t="shared" si="43"/>
        <v>0</v>
      </c>
      <c r="AU196" s="573">
        <f t="shared" si="43"/>
        <v>0</v>
      </c>
      <c r="AV196" s="573">
        <f t="shared" si="43"/>
        <v>0</v>
      </c>
      <c r="AW196" s="573">
        <f t="shared" si="43"/>
        <v>0</v>
      </c>
      <c r="AX196" s="565"/>
      <c r="AY196" s="565"/>
      <c r="AZ196" s="565"/>
    </row>
    <row r="197" spans="1:53" ht="11.25" hidden="1" outlineLevel="1" x14ac:dyDescent="0.2">
      <c r="A197" s="557" t="str">
        <f t="shared" si="39"/>
        <v>2</v>
      </c>
      <c r="B197" s="537" t="s">
        <v>741</v>
      </c>
      <c r="D197" s="537" t="s">
        <v>742</v>
      </c>
      <c r="L197" s="568" t="s">
        <v>743</v>
      </c>
      <c r="M197" s="578" t="s">
        <v>744</v>
      </c>
      <c r="N197" s="570" t="s">
        <v>106</v>
      </c>
      <c r="O197" s="573">
        <v>0</v>
      </c>
      <c r="P197" s="573">
        <v>0</v>
      </c>
      <c r="Q197" s="573">
        <v>0</v>
      </c>
      <c r="R197" s="573">
        <v>0</v>
      </c>
      <c r="S197" s="573">
        <v>0</v>
      </c>
      <c r="T197" s="573">
        <v>0</v>
      </c>
      <c r="U197" s="573">
        <v>0</v>
      </c>
      <c r="V197" s="573">
        <v>0</v>
      </c>
      <c r="W197" s="573">
        <v>0</v>
      </c>
      <c r="X197" s="573">
        <v>0</v>
      </c>
      <c r="Y197" s="573">
        <v>0</v>
      </c>
      <c r="Z197" s="573">
        <v>0</v>
      </c>
      <c r="AA197" s="573">
        <v>0</v>
      </c>
      <c r="AB197" s="573">
        <v>0</v>
      </c>
      <c r="AC197" s="573">
        <v>0</v>
      </c>
      <c r="AD197" s="573">
        <v>0</v>
      </c>
      <c r="AE197" s="573">
        <v>0</v>
      </c>
      <c r="AF197" s="573">
        <v>0</v>
      </c>
      <c r="AG197" s="573">
        <v>0</v>
      </c>
      <c r="AH197" s="573">
        <v>0</v>
      </c>
      <c r="AI197" s="573">
        <f>SUMIFS([12]Покупка!AH$15:AH$54,[12]Покупка!$A$15:$A$54,$A197,[12]Покупка!$M$15:$M$54,$B197)</f>
        <v>0</v>
      </c>
      <c r="AJ197" s="573">
        <f>SUMIFS([12]Покупка!AI$15:AI$54,[12]Покупка!$A$15:$A$54,$A197,[12]Покупка!$M$15:$M$54,$B197)</f>
        <v>0</v>
      </c>
      <c r="AK197" s="573">
        <f>SUMIFS([12]Покупка!AJ$15:AJ$54,[12]Покупка!$A$15:$A$54,$A197,[12]Покупка!$M$15:$M$54,$B197)</f>
        <v>0</v>
      </c>
      <c r="AL197" s="573">
        <f>SUMIFS([12]Покупка!AK$15:AK$54,[12]Покупка!$A$15:$A$54,$A197,[12]Покупка!$M$15:$M$54,$B197)</f>
        <v>0</v>
      </c>
      <c r="AM197" s="573">
        <f>SUMIFS([12]Покупка!AL$15:AL$54,[12]Покупка!$A$15:$A$54,$A197,[12]Покупка!$M$15:$M$54,$B197)</f>
        <v>0</v>
      </c>
      <c r="AN197" s="573">
        <f t="shared" si="42"/>
        <v>0</v>
      </c>
      <c r="AO197" s="573">
        <f t="shared" si="43"/>
        <v>0</v>
      </c>
      <c r="AP197" s="573">
        <f t="shared" si="43"/>
        <v>0</v>
      </c>
      <c r="AQ197" s="573">
        <f t="shared" si="43"/>
        <v>0</v>
      </c>
      <c r="AR197" s="573">
        <f t="shared" si="43"/>
        <v>0</v>
      </c>
      <c r="AS197" s="573">
        <f t="shared" si="43"/>
        <v>0</v>
      </c>
      <c r="AT197" s="573">
        <f t="shared" si="43"/>
        <v>0</v>
      </c>
      <c r="AU197" s="573">
        <f t="shared" si="43"/>
        <v>0</v>
      </c>
      <c r="AV197" s="573">
        <f t="shared" si="43"/>
        <v>0</v>
      </c>
      <c r="AW197" s="573">
        <f t="shared" si="43"/>
        <v>0</v>
      </c>
      <c r="AX197" s="565"/>
      <c r="AY197" s="565"/>
      <c r="AZ197" s="565"/>
    </row>
    <row r="198" spans="1:53" ht="11.25" hidden="1" outlineLevel="1" x14ac:dyDescent="0.2">
      <c r="A198" s="557" t="str">
        <f t="shared" si="39"/>
        <v>2</v>
      </c>
      <c r="B198" s="537" t="s">
        <v>745</v>
      </c>
      <c r="D198" s="537" t="s">
        <v>746</v>
      </c>
      <c r="L198" s="568" t="s">
        <v>747</v>
      </c>
      <c r="M198" s="578" t="s">
        <v>748</v>
      </c>
      <c r="N198" s="570" t="s">
        <v>106</v>
      </c>
      <c r="O198" s="573">
        <v>0</v>
      </c>
      <c r="P198" s="573">
        <v>0</v>
      </c>
      <c r="Q198" s="573">
        <v>0</v>
      </c>
      <c r="R198" s="573">
        <v>0</v>
      </c>
      <c r="S198" s="573">
        <v>0</v>
      </c>
      <c r="T198" s="573">
        <v>0</v>
      </c>
      <c r="U198" s="573">
        <v>0</v>
      </c>
      <c r="V198" s="573">
        <v>0</v>
      </c>
      <c r="W198" s="573">
        <v>0</v>
      </c>
      <c r="X198" s="573">
        <v>0</v>
      </c>
      <c r="Y198" s="573">
        <v>0</v>
      </c>
      <c r="Z198" s="573">
        <v>0</v>
      </c>
      <c r="AA198" s="573">
        <v>0</v>
      </c>
      <c r="AB198" s="573">
        <v>0</v>
      </c>
      <c r="AC198" s="573">
        <v>0</v>
      </c>
      <c r="AD198" s="573">
        <v>0</v>
      </c>
      <c r="AE198" s="573">
        <v>0</v>
      </c>
      <c r="AF198" s="573">
        <v>0</v>
      </c>
      <c r="AG198" s="573">
        <v>0</v>
      </c>
      <c r="AH198" s="573">
        <v>0</v>
      </c>
      <c r="AI198" s="573">
        <f>SUMIFS([12]Покупка!AH$15:AH$54,[12]Покупка!$A$15:$A$54,$A198,[12]Покупка!$M$15:$M$54,$B198)</f>
        <v>0</v>
      </c>
      <c r="AJ198" s="573">
        <f>SUMIFS([12]Покупка!AI$15:AI$54,[12]Покупка!$A$15:$A$54,$A198,[12]Покупка!$M$15:$M$54,$B198)</f>
        <v>0</v>
      </c>
      <c r="AK198" s="573">
        <f>SUMIFS([12]Покупка!AJ$15:AJ$54,[12]Покупка!$A$15:$A$54,$A198,[12]Покупка!$M$15:$M$54,$B198)</f>
        <v>0</v>
      </c>
      <c r="AL198" s="573">
        <f>SUMIFS([12]Покупка!AK$15:AK$54,[12]Покупка!$A$15:$A$54,$A198,[12]Покупка!$M$15:$M$54,$B198)</f>
        <v>0</v>
      </c>
      <c r="AM198" s="573">
        <f>SUMIFS([12]Покупка!AL$15:AL$54,[12]Покупка!$A$15:$A$54,$A198,[12]Покупка!$M$15:$M$54,$B198)</f>
        <v>0</v>
      </c>
      <c r="AN198" s="573">
        <f t="shared" si="42"/>
        <v>0</v>
      </c>
      <c r="AO198" s="573">
        <f t="shared" si="43"/>
        <v>0</v>
      </c>
      <c r="AP198" s="573">
        <f t="shared" si="43"/>
        <v>0</v>
      </c>
      <c r="AQ198" s="573">
        <f t="shared" si="43"/>
        <v>0</v>
      </c>
      <c r="AR198" s="573">
        <f t="shared" si="43"/>
        <v>0</v>
      </c>
      <c r="AS198" s="573">
        <f t="shared" si="43"/>
        <v>0</v>
      </c>
      <c r="AT198" s="573">
        <f t="shared" si="43"/>
        <v>0</v>
      </c>
      <c r="AU198" s="573">
        <f t="shared" si="43"/>
        <v>0</v>
      </c>
      <c r="AV198" s="573">
        <f t="shared" si="43"/>
        <v>0</v>
      </c>
      <c r="AW198" s="573">
        <f t="shared" si="43"/>
        <v>0</v>
      </c>
      <c r="AX198" s="565"/>
      <c r="AY198" s="565"/>
      <c r="AZ198" s="565"/>
    </row>
    <row r="199" spans="1:53" ht="11.25" hidden="1" outlineLevel="1" x14ac:dyDescent="0.2">
      <c r="A199" s="557" t="str">
        <f t="shared" si="39"/>
        <v>2</v>
      </c>
      <c r="B199" s="537" t="s">
        <v>749</v>
      </c>
      <c r="D199" s="537" t="s">
        <v>750</v>
      </c>
      <c r="L199" s="568" t="s">
        <v>751</v>
      </c>
      <c r="M199" s="578" t="s">
        <v>137</v>
      </c>
      <c r="N199" s="570" t="s">
        <v>106</v>
      </c>
      <c r="O199" s="573">
        <v>0</v>
      </c>
      <c r="P199" s="573">
        <v>0</v>
      </c>
      <c r="Q199" s="573">
        <v>0</v>
      </c>
      <c r="R199" s="573">
        <v>0</v>
      </c>
      <c r="S199" s="573">
        <v>0</v>
      </c>
      <c r="T199" s="573">
        <v>0</v>
      </c>
      <c r="U199" s="573">
        <v>0</v>
      </c>
      <c r="V199" s="573">
        <v>0</v>
      </c>
      <c r="W199" s="573">
        <v>0</v>
      </c>
      <c r="X199" s="573">
        <v>0</v>
      </c>
      <c r="Y199" s="573">
        <v>0</v>
      </c>
      <c r="Z199" s="573">
        <v>0</v>
      </c>
      <c r="AA199" s="573">
        <v>0</v>
      </c>
      <c r="AB199" s="573">
        <v>0</v>
      </c>
      <c r="AC199" s="573">
        <v>0</v>
      </c>
      <c r="AD199" s="573">
        <v>0</v>
      </c>
      <c r="AE199" s="573">
        <v>0</v>
      </c>
      <c r="AF199" s="573">
        <v>0</v>
      </c>
      <c r="AG199" s="573">
        <v>0</v>
      </c>
      <c r="AH199" s="573">
        <v>0</v>
      </c>
      <c r="AI199" s="573">
        <f>SUMIFS([12]Покупка!AH$15:AH$54,[12]Покупка!$A$15:$A$54,$A199,[12]Покупка!$M$15:$M$54,$B199)</f>
        <v>0</v>
      </c>
      <c r="AJ199" s="573">
        <f>SUMIFS([12]Покупка!AI$15:AI$54,[12]Покупка!$A$15:$A$54,$A199,[12]Покупка!$M$15:$M$54,$B199)</f>
        <v>0</v>
      </c>
      <c r="AK199" s="573">
        <f>SUMIFS([12]Покупка!AJ$15:AJ$54,[12]Покупка!$A$15:$A$54,$A199,[12]Покупка!$M$15:$M$54,$B199)</f>
        <v>0</v>
      </c>
      <c r="AL199" s="573">
        <f>SUMIFS([12]Покупка!AK$15:AK$54,[12]Покупка!$A$15:$A$54,$A199,[12]Покупка!$M$15:$M$54,$B199)</f>
        <v>0</v>
      </c>
      <c r="AM199" s="573">
        <f>SUMIFS([12]Покупка!AL$15:AL$54,[12]Покупка!$A$15:$A$54,$A199,[12]Покупка!$M$15:$M$54,$B199)</f>
        <v>0</v>
      </c>
      <c r="AN199" s="573">
        <f t="shared" si="42"/>
        <v>0</v>
      </c>
      <c r="AO199" s="573">
        <f t="shared" si="43"/>
        <v>0</v>
      </c>
      <c r="AP199" s="573">
        <f t="shared" si="43"/>
        <v>0</v>
      </c>
      <c r="AQ199" s="573">
        <f t="shared" si="43"/>
        <v>0</v>
      </c>
      <c r="AR199" s="573">
        <f t="shared" si="43"/>
        <v>0</v>
      </c>
      <c r="AS199" s="573">
        <f t="shared" si="43"/>
        <v>0</v>
      </c>
      <c r="AT199" s="573">
        <f t="shared" si="43"/>
        <v>0</v>
      </c>
      <c r="AU199" s="573">
        <f t="shared" si="43"/>
        <v>0</v>
      </c>
      <c r="AV199" s="573">
        <f t="shared" si="43"/>
        <v>0</v>
      </c>
      <c r="AW199" s="573">
        <f t="shared" si="43"/>
        <v>0</v>
      </c>
      <c r="AX199" s="565"/>
      <c r="AY199" s="565"/>
      <c r="AZ199" s="565"/>
    </row>
    <row r="200" spans="1:53" ht="11.25" hidden="1" outlineLevel="1" x14ac:dyDescent="0.2">
      <c r="A200" s="557" t="str">
        <f t="shared" si="39"/>
        <v>2</v>
      </c>
      <c r="D200" s="537" t="s">
        <v>752</v>
      </c>
      <c r="L200" s="568" t="s">
        <v>753</v>
      </c>
      <c r="M200" s="578" t="s">
        <v>139</v>
      </c>
      <c r="N200" s="570" t="s">
        <v>106</v>
      </c>
      <c r="O200" s="583"/>
      <c r="P200" s="583"/>
      <c r="Q200" s="583"/>
      <c r="R200" s="573">
        <v>0</v>
      </c>
      <c r="S200" s="583"/>
      <c r="T200" s="583"/>
      <c r="U200" s="583"/>
      <c r="V200" s="583"/>
      <c r="W200" s="583"/>
      <c r="X200" s="583"/>
      <c r="Y200" s="583"/>
      <c r="Z200" s="583"/>
      <c r="AA200" s="583"/>
      <c r="AB200" s="583"/>
      <c r="AC200" s="583"/>
      <c r="AD200" s="583"/>
      <c r="AE200" s="583"/>
      <c r="AF200" s="583"/>
      <c r="AG200" s="583"/>
      <c r="AH200" s="583"/>
      <c r="AI200" s="583"/>
      <c r="AJ200" s="583"/>
      <c r="AK200" s="583"/>
      <c r="AL200" s="583"/>
      <c r="AM200" s="583"/>
      <c r="AN200" s="573">
        <f t="shared" si="40"/>
        <v>0</v>
      </c>
      <c r="AO200" s="573">
        <f t="shared" si="43"/>
        <v>0</v>
      </c>
      <c r="AP200" s="573">
        <f t="shared" si="43"/>
        <v>0</v>
      </c>
      <c r="AQ200" s="573">
        <f t="shared" si="43"/>
        <v>0</v>
      </c>
      <c r="AR200" s="573">
        <f t="shared" si="43"/>
        <v>0</v>
      </c>
      <c r="AS200" s="573">
        <f t="shared" si="43"/>
        <v>0</v>
      </c>
      <c r="AT200" s="573">
        <f t="shared" si="43"/>
        <v>0</v>
      </c>
      <c r="AU200" s="573">
        <f t="shared" si="43"/>
        <v>0</v>
      </c>
      <c r="AV200" s="573">
        <f t="shared" si="43"/>
        <v>0</v>
      </c>
      <c r="AW200" s="573">
        <f t="shared" si="43"/>
        <v>0</v>
      </c>
      <c r="AX200" s="565"/>
      <c r="AY200" s="565"/>
      <c r="AZ200" s="565"/>
    </row>
    <row r="201" spans="1:53" ht="11.25" hidden="1" outlineLevel="1" x14ac:dyDescent="0.2">
      <c r="A201" s="557" t="str">
        <f t="shared" si="39"/>
        <v>2</v>
      </c>
      <c r="D201" s="537" t="s">
        <v>754</v>
      </c>
      <c r="L201" s="568" t="s">
        <v>755</v>
      </c>
      <c r="M201" s="578" t="s">
        <v>141</v>
      </c>
      <c r="N201" s="570" t="s">
        <v>106</v>
      </c>
      <c r="O201" s="583"/>
      <c r="P201" s="583"/>
      <c r="Q201" s="583"/>
      <c r="R201" s="573">
        <v>0</v>
      </c>
      <c r="S201" s="583"/>
      <c r="T201" s="583"/>
      <c r="U201" s="583"/>
      <c r="V201" s="583"/>
      <c r="W201" s="583"/>
      <c r="X201" s="583"/>
      <c r="Y201" s="583"/>
      <c r="Z201" s="583"/>
      <c r="AA201" s="583"/>
      <c r="AB201" s="583"/>
      <c r="AC201" s="583"/>
      <c r="AD201" s="583"/>
      <c r="AE201" s="583"/>
      <c r="AF201" s="583"/>
      <c r="AG201" s="583"/>
      <c r="AH201" s="583"/>
      <c r="AI201" s="583"/>
      <c r="AJ201" s="583"/>
      <c r="AK201" s="583"/>
      <c r="AL201" s="583"/>
      <c r="AM201" s="583"/>
      <c r="AN201" s="573">
        <f t="shared" si="40"/>
        <v>0</v>
      </c>
      <c r="AO201" s="573">
        <f t="shared" si="43"/>
        <v>0</v>
      </c>
      <c r="AP201" s="573">
        <f t="shared" si="43"/>
        <v>0</v>
      </c>
      <c r="AQ201" s="573">
        <f t="shared" si="43"/>
        <v>0</v>
      </c>
      <c r="AR201" s="573">
        <f t="shared" si="43"/>
        <v>0</v>
      </c>
      <c r="AS201" s="573">
        <f t="shared" si="43"/>
        <v>0</v>
      </c>
      <c r="AT201" s="573">
        <f t="shared" si="43"/>
        <v>0</v>
      </c>
      <c r="AU201" s="573">
        <f t="shared" si="43"/>
        <v>0</v>
      </c>
      <c r="AV201" s="573">
        <f t="shared" si="43"/>
        <v>0</v>
      </c>
      <c r="AW201" s="573">
        <f t="shared" si="43"/>
        <v>0</v>
      </c>
      <c r="AX201" s="565"/>
      <c r="AY201" s="565"/>
      <c r="AZ201" s="565"/>
    </row>
    <row r="202" spans="1:53" ht="11.25" hidden="1" outlineLevel="1" x14ac:dyDescent="0.2">
      <c r="A202" s="557" t="str">
        <f t="shared" si="39"/>
        <v>2</v>
      </c>
      <c r="B202" s="537" t="s">
        <v>756</v>
      </c>
      <c r="D202" s="537" t="s">
        <v>757</v>
      </c>
      <c r="L202" s="568" t="s">
        <v>758</v>
      </c>
      <c r="M202" s="578" t="s">
        <v>143</v>
      </c>
      <c r="N202" s="570" t="s">
        <v>106</v>
      </c>
      <c r="O202" s="573">
        <v>0</v>
      </c>
      <c r="P202" s="573">
        <v>0</v>
      </c>
      <c r="Q202" s="573">
        <v>0</v>
      </c>
      <c r="R202" s="573">
        <v>0</v>
      </c>
      <c r="S202" s="573">
        <v>0</v>
      </c>
      <c r="T202" s="573">
        <v>0</v>
      </c>
      <c r="U202" s="573">
        <v>0</v>
      </c>
      <c r="V202" s="573">
        <v>0</v>
      </c>
      <c r="W202" s="573">
        <v>0</v>
      </c>
      <c r="X202" s="573">
        <v>0</v>
      </c>
      <c r="Y202" s="573">
        <v>0</v>
      </c>
      <c r="Z202" s="573">
        <v>0</v>
      </c>
      <c r="AA202" s="573">
        <v>0</v>
      </c>
      <c r="AB202" s="573">
        <v>0</v>
      </c>
      <c r="AC202" s="573">
        <v>0</v>
      </c>
      <c r="AD202" s="573">
        <v>0</v>
      </c>
      <c r="AE202" s="573">
        <v>0</v>
      </c>
      <c r="AF202" s="573">
        <v>0</v>
      </c>
      <c r="AG202" s="573">
        <v>0</v>
      </c>
      <c r="AH202" s="573">
        <v>0</v>
      </c>
      <c r="AI202" s="573">
        <f>SUMIFS([12]Покупка!AH$15:AH$54,[12]Покупка!$A$15:$A$54,$A202,[12]Покупка!$M$15:$M$54,$B202)</f>
        <v>0</v>
      </c>
      <c r="AJ202" s="573">
        <f>SUMIFS([12]Покупка!AI$15:AI$54,[12]Покупка!$A$15:$A$54,$A202,[12]Покупка!$M$15:$M$54,$B202)</f>
        <v>0</v>
      </c>
      <c r="AK202" s="573">
        <f>SUMIFS([12]Покупка!AJ$15:AJ$54,[12]Покупка!$A$15:$A$54,$A202,[12]Покупка!$M$15:$M$54,$B202)</f>
        <v>0</v>
      </c>
      <c r="AL202" s="573">
        <f>SUMIFS([12]Покупка!AK$15:AK$54,[12]Покупка!$A$15:$A$54,$A202,[12]Покупка!$M$15:$M$54,$B202)</f>
        <v>0</v>
      </c>
      <c r="AM202" s="573">
        <f>SUMIFS([12]Покупка!AL$15:AL$54,[12]Покупка!$A$15:$A$54,$A202,[12]Покупка!$M$15:$M$54,$B202)</f>
        <v>0</v>
      </c>
      <c r="AN202" s="573">
        <f>IF(S202=0,0,(AD202-S202)/S202*100)</f>
        <v>0</v>
      </c>
      <c r="AO202" s="573">
        <f t="shared" si="43"/>
        <v>0</v>
      </c>
      <c r="AP202" s="573">
        <f t="shared" si="43"/>
        <v>0</v>
      </c>
      <c r="AQ202" s="573">
        <f t="shared" si="43"/>
        <v>0</v>
      </c>
      <c r="AR202" s="573">
        <f t="shared" si="43"/>
        <v>0</v>
      </c>
      <c r="AS202" s="573">
        <f t="shared" si="43"/>
        <v>0</v>
      </c>
      <c r="AT202" s="573">
        <f t="shared" si="43"/>
        <v>0</v>
      </c>
      <c r="AU202" s="573">
        <f t="shared" si="43"/>
        <v>0</v>
      </c>
      <c r="AV202" s="573">
        <f t="shared" si="43"/>
        <v>0</v>
      </c>
      <c r="AW202" s="573">
        <f t="shared" si="43"/>
        <v>0</v>
      </c>
      <c r="AX202" s="565"/>
      <c r="AY202" s="565"/>
      <c r="AZ202" s="565"/>
    </row>
    <row r="203" spans="1:53" ht="11.25" hidden="1" outlineLevel="1" x14ac:dyDescent="0.2">
      <c r="A203" s="557" t="str">
        <f t="shared" si="39"/>
        <v>2</v>
      </c>
      <c r="B203" s="537" t="s">
        <v>759</v>
      </c>
      <c r="D203" s="537" t="s">
        <v>760</v>
      </c>
      <c r="L203" s="568" t="s">
        <v>761</v>
      </c>
      <c r="M203" s="578" t="s">
        <v>145</v>
      </c>
      <c r="N203" s="570" t="s">
        <v>106</v>
      </c>
      <c r="O203" s="573">
        <v>0</v>
      </c>
      <c r="P203" s="573">
        <v>0</v>
      </c>
      <c r="Q203" s="573">
        <v>0</v>
      </c>
      <c r="R203" s="573">
        <v>0</v>
      </c>
      <c r="S203" s="573">
        <v>0</v>
      </c>
      <c r="T203" s="573">
        <v>0</v>
      </c>
      <c r="U203" s="573">
        <v>0</v>
      </c>
      <c r="V203" s="573">
        <v>0</v>
      </c>
      <c r="W203" s="573">
        <v>0</v>
      </c>
      <c r="X203" s="573">
        <v>0</v>
      </c>
      <c r="Y203" s="573">
        <v>0</v>
      </c>
      <c r="Z203" s="573">
        <v>0</v>
      </c>
      <c r="AA203" s="573">
        <v>0</v>
      </c>
      <c r="AB203" s="573">
        <v>0</v>
      </c>
      <c r="AC203" s="573">
        <v>0</v>
      </c>
      <c r="AD203" s="573">
        <v>0</v>
      </c>
      <c r="AE203" s="573">
        <v>0</v>
      </c>
      <c r="AF203" s="573">
        <v>0</v>
      </c>
      <c r="AG203" s="573">
        <v>0</v>
      </c>
      <c r="AH203" s="573">
        <v>0</v>
      </c>
      <c r="AI203" s="573">
        <f>SUMIFS([12]Покупка!AH$15:AH$54,[12]Покупка!$A$15:$A$54,$A203,[12]Покупка!$M$15:$M$54,$B203)</f>
        <v>0</v>
      </c>
      <c r="AJ203" s="573">
        <f>SUMIFS([12]Покупка!AI$15:AI$54,[12]Покупка!$A$15:$A$54,$A203,[12]Покупка!$M$15:$M$54,$B203)</f>
        <v>0</v>
      </c>
      <c r="AK203" s="573">
        <f>SUMIFS([12]Покупка!AJ$15:AJ$54,[12]Покупка!$A$15:$A$54,$A203,[12]Покупка!$M$15:$M$54,$B203)</f>
        <v>0</v>
      </c>
      <c r="AL203" s="573">
        <f>SUMIFS([12]Покупка!AK$15:AK$54,[12]Покупка!$A$15:$A$54,$A203,[12]Покупка!$M$15:$M$54,$B203)</f>
        <v>0</v>
      </c>
      <c r="AM203" s="573">
        <f>SUMIFS([12]Покупка!AL$15:AL$54,[12]Покупка!$A$15:$A$54,$A203,[12]Покупка!$M$15:$M$54,$B203)</f>
        <v>0</v>
      </c>
      <c r="AN203" s="573">
        <f>IF(S203=0,0,(AD203-S203)/S203*100)</f>
        <v>0</v>
      </c>
      <c r="AO203" s="573">
        <f t="shared" si="43"/>
        <v>0</v>
      </c>
      <c r="AP203" s="573">
        <f t="shared" si="43"/>
        <v>0</v>
      </c>
      <c r="AQ203" s="573">
        <f t="shared" si="43"/>
        <v>0</v>
      </c>
      <c r="AR203" s="573">
        <f t="shared" si="43"/>
        <v>0</v>
      </c>
      <c r="AS203" s="573">
        <f t="shared" si="43"/>
        <v>0</v>
      </c>
      <c r="AT203" s="573">
        <f t="shared" si="43"/>
        <v>0</v>
      </c>
      <c r="AU203" s="573">
        <f t="shared" si="43"/>
        <v>0</v>
      </c>
      <c r="AV203" s="573">
        <f t="shared" si="43"/>
        <v>0</v>
      </c>
      <c r="AW203" s="573">
        <f t="shared" si="43"/>
        <v>0</v>
      </c>
      <c r="AX203" s="565"/>
      <c r="AY203" s="565"/>
      <c r="AZ203" s="565"/>
    </row>
    <row r="204" spans="1:53" ht="11.25" hidden="1" outlineLevel="1" x14ac:dyDescent="0.2">
      <c r="A204" s="557" t="str">
        <f t="shared" si="39"/>
        <v>2</v>
      </c>
      <c r="B204" s="537" t="s">
        <v>762</v>
      </c>
      <c r="D204" s="537" t="s">
        <v>763</v>
      </c>
      <c r="L204" s="568" t="s">
        <v>764</v>
      </c>
      <c r="M204" s="578" t="s">
        <v>765</v>
      </c>
      <c r="N204" s="570" t="s">
        <v>106</v>
      </c>
      <c r="O204" s="573">
        <v>0</v>
      </c>
      <c r="P204" s="573">
        <v>0</v>
      </c>
      <c r="Q204" s="573">
        <v>0</v>
      </c>
      <c r="R204" s="573">
        <v>0</v>
      </c>
      <c r="S204" s="573">
        <v>0</v>
      </c>
      <c r="T204" s="573">
        <v>0</v>
      </c>
      <c r="U204" s="573">
        <v>0</v>
      </c>
      <c r="V204" s="573">
        <v>0</v>
      </c>
      <c r="W204" s="573">
        <v>0</v>
      </c>
      <c r="X204" s="573">
        <v>0</v>
      </c>
      <c r="Y204" s="573">
        <v>0</v>
      </c>
      <c r="Z204" s="573">
        <v>0</v>
      </c>
      <c r="AA204" s="573">
        <v>0</v>
      </c>
      <c r="AB204" s="573">
        <v>0</v>
      </c>
      <c r="AC204" s="573">
        <v>0</v>
      </c>
      <c r="AD204" s="573">
        <v>0</v>
      </c>
      <c r="AE204" s="573">
        <v>0</v>
      </c>
      <c r="AF204" s="573">
        <v>0</v>
      </c>
      <c r="AG204" s="573">
        <v>0</v>
      </c>
      <c r="AH204" s="573">
        <v>0</v>
      </c>
      <c r="AI204" s="573">
        <f>SUMIFS([12]Покупка!AH$15:AH$54,[12]Покупка!$A$15:$A$54,$A204,[12]Покупка!$M$15:$M$54,$B204)</f>
        <v>0</v>
      </c>
      <c r="AJ204" s="573">
        <f>SUMIFS([12]Покупка!AI$15:AI$54,[12]Покупка!$A$15:$A$54,$A204,[12]Покупка!$M$15:$M$54,$B204)</f>
        <v>0</v>
      </c>
      <c r="AK204" s="573">
        <f>SUMIFS([12]Покупка!AJ$15:AJ$54,[12]Покупка!$A$15:$A$54,$A204,[12]Покупка!$M$15:$M$54,$B204)</f>
        <v>0</v>
      </c>
      <c r="AL204" s="573">
        <f>SUMIFS([12]Покупка!AK$15:AK$54,[12]Покупка!$A$15:$A$54,$A204,[12]Покупка!$M$15:$M$54,$B204)</f>
        <v>0</v>
      </c>
      <c r="AM204" s="573">
        <f>SUMIFS([12]Покупка!AL$15:AL$54,[12]Покупка!$A$15:$A$54,$A204,[12]Покупка!$M$15:$M$54,$B204)</f>
        <v>0</v>
      </c>
      <c r="AN204" s="573">
        <f>IF(S204=0,0,(AD204-S204)/S204*100)</f>
        <v>0</v>
      </c>
      <c r="AO204" s="573">
        <f t="shared" si="43"/>
        <v>0</v>
      </c>
      <c r="AP204" s="573">
        <f t="shared" si="43"/>
        <v>0</v>
      </c>
      <c r="AQ204" s="573">
        <f t="shared" si="43"/>
        <v>0</v>
      </c>
      <c r="AR204" s="573">
        <f t="shared" si="43"/>
        <v>0</v>
      </c>
      <c r="AS204" s="573">
        <f t="shared" si="43"/>
        <v>0</v>
      </c>
      <c r="AT204" s="573">
        <f t="shared" si="43"/>
        <v>0</v>
      </c>
      <c r="AU204" s="573">
        <f t="shared" si="43"/>
        <v>0</v>
      </c>
      <c r="AV204" s="573">
        <f t="shared" si="43"/>
        <v>0</v>
      </c>
      <c r="AW204" s="573">
        <f t="shared" si="43"/>
        <v>0</v>
      </c>
      <c r="AX204" s="565"/>
      <c r="AY204" s="565"/>
      <c r="AZ204" s="565"/>
    </row>
    <row r="205" spans="1:53" ht="11.25" outlineLevel="1" x14ac:dyDescent="0.2">
      <c r="A205" s="557" t="str">
        <f t="shared" si="39"/>
        <v>2</v>
      </c>
      <c r="D205" s="537" t="s">
        <v>766</v>
      </c>
      <c r="L205" s="568" t="s">
        <v>492</v>
      </c>
      <c r="M205" s="569" t="s">
        <v>767</v>
      </c>
      <c r="N205" s="603" t="s">
        <v>106</v>
      </c>
      <c r="O205" s="573">
        <v>0</v>
      </c>
      <c r="P205" s="573">
        <v>0</v>
      </c>
      <c r="Q205" s="573">
        <v>0</v>
      </c>
      <c r="R205" s="573">
        <v>0</v>
      </c>
      <c r="S205" s="573">
        <v>0</v>
      </c>
      <c r="T205" s="573">
        <v>0.2</v>
      </c>
      <c r="U205" s="573">
        <v>0.2</v>
      </c>
      <c r="V205" s="573">
        <v>0.3</v>
      </c>
      <c r="W205" s="573">
        <v>0.3</v>
      </c>
      <c r="X205" s="573">
        <v>0.3</v>
      </c>
      <c r="Y205" s="573">
        <v>0</v>
      </c>
      <c r="Z205" s="573">
        <v>0</v>
      </c>
      <c r="AA205" s="573">
        <v>0</v>
      </c>
      <c r="AB205" s="573">
        <v>0</v>
      </c>
      <c r="AC205" s="573">
        <v>0</v>
      </c>
      <c r="AD205" s="573">
        <v>0</v>
      </c>
      <c r="AE205" s="573">
        <v>0</v>
      </c>
      <c r="AF205" s="573">
        <v>0</v>
      </c>
      <c r="AG205" s="573">
        <v>0</v>
      </c>
      <c r="AH205" s="573">
        <v>0</v>
      </c>
      <c r="AI205" s="573" t="e">
        <f>SUMIFS([12]Реагенты!AH$15:AH$26,[12]Реагенты!$A$15:$A$26,$A205,[12]Реагенты!$M$15:$M$26,"Всего по тарифу")</f>
        <v>#VALUE!</v>
      </c>
      <c r="AJ205" s="573" t="e">
        <f>SUMIFS([12]Реагенты!AI$15:AI$26,[12]Реагенты!$A$15:$A$26,$A205,[12]Реагенты!$M$15:$M$26,"Всего по тарифу")</f>
        <v>#VALUE!</v>
      </c>
      <c r="AK205" s="573" t="e">
        <f>SUMIFS([12]Реагенты!AJ$15:AJ$26,[12]Реагенты!$A$15:$A$26,$A205,[12]Реагенты!$M$15:$M$26,"Всего по тарифу")</f>
        <v>#VALUE!</v>
      </c>
      <c r="AL205" s="573" t="e">
        <f>SUMIFS([12]Реагенты!AK$15:AK$26,[12]Реагенты!$A$15:$A$26,$A205,[12]Реагенты!$M$15:$M$26,"Всего по тарифу")</f>
        <v>#VALUE!</v>
      </c>
      <c r="AM205" s="573" t="e">
        <f>SUMIFS([12]Реагенты!AL$15:AL$26,[12]Реагенты!$A$15:$A$26,$A205,[12]Реагенты!$M$15:$M$26,"Всего по тарифу")</f>
        <v>#VALUE!</v>
      </c>
      <c r="AN205" s="573">
        <f>IF(S205=0,0,(AD205-S205)/S205*100)</f>
        <v>0</v>
      </c>
      <c r="AO205" s="573">
        <f t="shared" si="43"/>
        <v>0</v>
      </c>
      <c r="AP205" s="573">
        <f t="shared" si="43"/>
        <v>0</v>
      </c>
      <c r="AQ205" s="573">
        <f t="shared" si="43"/>
        <v>0</v>
      </c>
      <c r="AR205" s="573">
        <f t="shared" si="43"/>
        <v>0</v>
      </c>
      <c r="AS205" s="573">
        <f t="shared" si="43"/>
        <v>0</v>
      </c>
      <c r="AT205" s="573" t="e">
        <f t="shared" si="43"/>
        <v>#VALUE!</v>
      </c>
      <c r="AU205" s="573" t="e">
        <f t="shared" si="43"/>
        <v>#VALUE!</v>
      </c>
      <c r="AV205" s="573" t="e">
        <f t="shared" si="43"/>
        <v>#VALUE!</v>
      </c>
      <c r="AW205" s="573" t="e">
        <f t="shared" si="43"/>
        <v>#VALUE!</v>
      </c>
      <c r="AX205" s="565"/>
      <c r="AY205" s="565"/>
      <c r="AZ205" s="565"/>
    </row>
    <row r="206" spans="1:53" s="590" customFormat="1" ht="11.25" outlineLevel="1" x14ac:dyDescent="0.2">
      <c r="A206" s="557" t="str">
        <f t="shared" si="39"/>
        <v>2</v>
      </c>
      <c r="C206" s="537"/>
      <c r="D206" s="537" t="s">
        <v>768</v>
      </c>
      <c r="L206" s="591" t="s">
        <v>769</v>
      </c>
      <c r="M206" s="592" t="s">
        <v>770</v>
      </c>
      <c r="N206" s="593" t="s">
        <v>106</v>
      </c>
      <c r="O206" s="563">
        <v>4.3100000000000005</v>
      </c>
      <c r="P206" s="563">
        <v>0</v>
      </c>
      <c r="Q206" s="563">
        <v>0</v>
      </c>
      <c r="R206" s="563">
        <v>0</v>
      </c>
      <c r="S206" s="563">
        <v>0</v>
      </c>
      <c r="T206" s="594">
        <v>0</v>
      </c>
      <c r="U206" s="563">
        <v>0</v>
      </c>
      <c r="V206" s="563">
        <v>0</v>
      </c>
      <c r="W206" s="563">
        <v>0</v>
      </c>
      <c r="X206" s="563">
        <v>0</v>
      </c>
      <c r="Y206" s="563">
        <v>0</v>
      </c>
      <c r="Z206" s="563">
        <v>0</v>
      </c>
      <c r="AA206" s="563">
        <v>0</v>
      </c>
      <c r="AB206" s="563">
        <v>0</v>
      </c>
      <c r="AC206" s="563">
        <v>0</v>
      </c>
      <c r="AD206" s="594">
        <v>3.8112458088703596</v>
      </c>
      <c r="AE206" s="563">
        <v>3.98</v>
      </c>
      <c r="AF206" s="563">
        <v>4.21</v>
      </c>
      <c r="AG206" s="563">
        <v>4.34</v>
      </c>
      <c r="AH206" s="563">
        <v>4.58</v>
      </c>
      <c r="AI206" s="563" t="e">
        <f t="shared" ref="AI206:AM206" si="45">SUM(AI207:AI215)</f>
        <v>#VALUE!</v>
      </c>
      <c r="AJ206" s="563" t="e">
        <f t="shared" si="45"/>
        <v>#VALUE!</v>
      </c>
      <c r="AK206" s="563" t="e">
        <f t="shared" si="45"/>
        <v>#VALUE!</v>
      </c>
      <c r="AL206" s="563" t="e">
        <f t="shared" si="45"/>
        <v>#VALUE!</v>
      </c>
      <c r="AM206" s="563" t="e">
        <f t="shared" si="45"/>
        <v>#VALUE!</v>
      </c>
      <c r="AN206" s="563">
        <f t="shared" si="40"/>
        <v>0</v>
      </c>
      <c r="AO206" s="563">
        <f t="shared" si="43"/>
        <v>4.4277960434060422</v>
      </c>
      <c r="AP206" s="563">
        <f t="shared" si="43"/>
        <v>5.7788944723618085</v>
      </c>
      <c r="AQ206" s="563">
        <f t="shared" si="43"/>
        <v>3.0878859857482159</v>
      </c>
      <c r="AR206" s="563">
        <f t="shared" si="43"/>
        <v>5.5299539170506966</v>
      </c>
      <c r="AS206" s="563" t="e">
        <f t="shared" si="43"/>
        <v>#VALUE!</v>
      </c>
      <c r="AT206" s="563" t="e">
        <f t="shared" si="43"/>
        <v>#VALUE!</v>
      </c>
      <c r="AU206" s="563" t="e">
        <f t="shared" si="43"/>
        <v>#VALUE!</v>
      </c>
      <c r="AV206" s="563" t="e">
        <f t="shared" si="43"/>
        <v>#VALUE!</v>
      </c>
      <c r="AW206" s="563" t="e">
        <f t="shared" si="43"/>
        <v>#VALUE!</v>
      </c>
      <c r="AX206" s="577"/>
      <c r="AY206" s="577"/>
      <c r="AZ206" s="577"/>
    </row>
    <row r="207" spans="1:53" ht="11.25" hidden="1" outlineLevel="1" x14ac:dyDescent="0.2">
      <c r="A207" s="557" t="str">
        <f t="shared" si="39"/>
        <v>2</v>
      </c>
      <c r="B207" s="537" t="s">
        <v>544</v>
      </c>
      <c r="D207" s="537" t="s">
        <v>771</v>
      </c>
      <c r="L207" s="568" t="s">
        <v>772</v>
      </c>
      <c r="M207" s="578" t="s">
        <v>773</v>
      </c>
      <c r="N207" s="570" t="s">
        <v>106</v>
      </c>
      <c r="O207" s="573">
        <v>0</v>
      </c>
      <c r="P207" s="573">
        <v>0</v>
      </c>
      <c r="Q207" s="573">
        <v>0</v>
      </c>
      <c r="R207" s="573">
        <v>0</v>
      </c>
      <c r="S207" s="573">
        <v>0</v>
      </c>
      <c r="T207" s="573">
        <v>0</v>
      </c>
      <c r="U207" s="573">
        <v>0</v>
      </c>
      <c r="V207" s="573">
        <v>0</v>
      </c>
      <c r="W207" s="573">
        <v>0</v>
      </c>
      <c r="X207" s="573">
        <v>0</v>
      </c>
      <c r="Y207" s="573">
        <v>0</v>
      </c>
      <c r="Z207" s="573">
        <v>0</v>
      </c>
      <c r="AA207" s="573">
        <v>0</v>
      </c>
      <c r="AB207" s="573">
        <v>0</v>
      </c>
      <c r="AC207" s="573">
        <v>0</v>
      </c>
      <c r="AD207" s="573">
        <v>0</v>
      </c>
      <c r="AE207" s="573">
        <v>0</v>
      </c>
      <c r="AF207" s="573">
        <v>0</v>
      </c>
      <c r="AG207" s="573">
        <v>0</v>
      </c>
      <c r="AH207" s="573">
        <v>0</v>
      </c>
      <c r="AI207" s="573" t="e">
        <f>SUMIFS([12]Налоги!AH$15:AH$43,[12]Налоги!$A$15:$A$43,$A207,[12]Налоги!$M$15:$M$43,$B207)</f>
        <v>#VALUE!</v>
      </c>
      <c r="AJ207" s="573" t="e">
        <f>SUMIFS([12]Налоги!AI$15:AI$43,[12]Налоги!$A$15:$A$43,$A207,[12]Налоги!$M$15:$M$43,$B207)</f>
        <v>#VALUE!</v>
      </c>
      <c r="AK207" s="573" t="e">
        <f>SUMIFS([12]Налоги!AJ$15:AJ$43,[12]Налоги!$A$15:$A$43,$A207,[12]Налоги!$M$15:$M$43,$B207)</f>
        <v>#VALUE!</v>
      </c>
      <c r="AL207" s="573" t="e">
        <f>SUMIFS([12]Налоги!AK$15:AK$43,[12]Налоги!$A$15:$A$43,$A207,[12]Налоги!$M$15:$M$43,$B207)</f>
        <v>#VALUE!</v>
      </c>
      <c r="AM207" s="573" t="e">
        <f>SUMIFS([12]Налоги!AL$15:AL$43,[12]Налоги!$A$15:$A$43,$A207,[12]Налоги!$M$15:$M$43,$B207)</f>
        <v>#VALUE!</v>
      </c>
      <c r="AN207" s="573">
        <f t="shared" si="40"/>
        <v>0</v>
      </c>
      <c r="AO207" s="573">
        <f t="shared" si="43"/>
        <v>0</v>
      </c>
      <c r="AP207" s="573">
        <f t="shared" si="43"/>
        <v>0</v>
      </c>
      <c r="AQ207" s="573">
        <f t="shared" si="43"/>
        <v>0</v>
      </c>
      <c r="AR207" s="573">
        <f t="shared" si="43"/>
        <v>0</v>
      </c>
      <c r="AS207" s="573">
        <f t="shared" si="43"/>
        <v>0</v>
      </c>
      <c r="AT207" s="573" t="e">
        <f t="shared" si="43"/>
        <v>#VALUE!</v>
      </c>
      <c r="AU207" s="573" t="e">
        <f t="shared" si="43"/>
        <v>#VALUE!</v>
      </c>
      <c r="AV207" s="573" t="e">
        <f t="shared" si="43"/>
        <v>#VALUE!</v>
      </c>
      <c r="AW207" s="573" t="e">
        <f t="shared" si="43"/>
        <v>#VALUE!</v>
      </c>
      <c r="AX207" s="565"/>
      <c r="AY207" s="565"/>
      <c r="AZ207" s="565"/>
    </row>
    <row r="208" spans="1:53" ht="11.25" hidden="1" outlineLevel="1" x14ac:dyDescent="0.2">
      <c r="A208" s="557" t="str">
        <f t="shared" ref="A208:A267" si="46">A207</f>
        <v>2</v>
      </c>
      <c r="B208" s="537" t="s">
        <v>774</v>
      </c>
      <c r="D208" s="537" t="s">
        <v>775</v>
      </c>
      <c r="L208" s="568" t="s">
        <v>776</v>
      </c>
      <c r="M208" s="578" t="s">
        <v>777</v>
      </c>
      <c r="N208" s="570" t="s">
        <v>106</v>
      </c>
      <c r="O208" s="573">
        <v>0</v>
      </c>
      <c r="P208" s="573">
        <v>0</v>
      </c>
      <c r="Q208" s="573">
        <v>0</v>
      </c>
      <c r="R208" s="573">
        <v>0</v>
      </c>
      <c r="S208" s="573">
        <v>0</v>
      </c>
      <c r="T208" s="573">
        <v>0</v>
      </c>
      <c r="U208" s="573">
        <v>0</v>
      </c>
      <c r="V208" s="573">
        <v>0</v>
      </c>
      <c r="W208" s="573">
        <v>0</v>
      </c>
      <c r="X208" s="573">
        <v>0</v>
      </c>
      <c r="Y208" s="573">
        <v>0</v>
      </c>
      <c r="Z208" s="573">
        <v>0</v>
      </c>
      <c r="AA208" s="573">
        <v>0</v>
      </c>
      <c r="AB208" s="573">
        <v>0</v>
      </c>
      <c r="AC208" s="573">
        <v>0</v>
      </c>
      <c r="AD208" s="573">
        <v>0</v>
      </c>
      <c r="AE208" s="573">
        <v>0</v>
      </c>
      <c r="AF208" s="573">
        <v>0</v>
      </c>
      <c r="AG208" s="573">
        <v>0</v>
      </c>
      <c r="AH208" s="573">
        <v>0</v>
      </c>
      <c r="AI208" s="573" t="e">
        <f>SUMIFS([12]Налоги!AH$15:AH$43,[12]Налоги!$A$15:$A$43,$A208,[12]Налоги!$M$15:$M$43,$B208)</f>
        <v>#VALUE!</v>
      </c>
      <c r="AJ208" s="573" t="e">
        <f>SUMIFS([12]Налоги!AI$15:AI$43,[12]Налоги!$A$15:$A$43,$A208,[12]Налоги!$M$15:$M$43,$B208)</f>
        <v>#VALUE!</v>
      </c>
      <c r="AK208" s="573" t="e">
        <f>SUMIFS([12]Налоги!AJ$15:AJ$43,[12]Налоги!$A$15:$A$43,$A208,[12]Налоги!$M$15:$M$43,$B208)</f>
        <v>#VALUE!</v>
      </c>
      <c r="AL208" s="573" t="e">
        <f>SUMIFS([12]Налоги!AK$15:AK$43,[12]Налоги!$A$15:$A$43,$A208,[12]Налоги!$M$15:$M$43,$B208)</f>
        <v>#VALUE!</v>
      </c>
      <c r="AM208" s="573" t="e">
        <f>SUMIFS([12]Налоги!AL$15:AL$43,[12]Налоги!$A$15:$A$43,$A208,[12]Налоги!$M$15:$M$43,$B208)</f>
        <v>#VALUE!</v>
      </c>
      <c r="AN208" s="573">
        <f t="shared" si="40"/>
        <v>0</v>
      </c>
      <c r="AO208" s="573">
        <f t="shared" si="43"/>
        <v>0</v>
      </c>
      <c r="AP208" s="573">
        <f t="shared" si="43"/>
        <v>0</v>
      </c>
      <c r="AQ208" s="573">
        <f t="shared" si="43"/>
        <v>0</v>
      </c>
      <c r="AR208" s="573">
        <f t="shared" si="43"/>
        <v>0</v>
      </c>
      <c r="AS208" s="573">
        <f t="shared" si="43"/>
        <v>0</v>
      </c>
      <c r="AT208" s="573" t="e">
        <f t="shared" si="43"/>
        <v>#VALUE!</v>
      </c>
      <c r="AU208" s="573" t="e">
        <f t="shared" si="43"/>
        <v>#VALUE!</v>
      </c>
      <c r="AV208" s="573" t="e">
        <f t="shared" si="43"/>
        <v>#VALUE!</v>
      </c>
      <c r="AW208" s="573" t="e">
        <f t="shared" si="43"/>
        <v>#VALUE!</v>
      </c>
      <c r="AX208" s="565"/>
      <c r="AY208" s="565"/>
      <c r="AZ208" s="565"/>
    </row>
    <row r="209" spans="1:52" ht="11.25" hidden="1" outlineLevel="1" x14ac:dyDescent="0.2">
      <c r="A209" s="557" t="str">
        <f t="shared" si="46"/>
        <v>2</v>
      </c>
      <c r="B209" s="537" t="s">
        <v>156</v>
      </c>
      <c r="D209" s="537" t="s">
        <v>778</v>
      </c>
      <c r="L209" s="568" t="s">
        <v>779</v>
      </c>
      <c r="M209" s="578" t="s">
        <v>780</v>
      </c>
      <c r="N209" s="570" t="s">
        <v>106</v>
      </c>
      <c r="O209" s="573">
        <v>0</v>
      </c>
      <c r="P209" s="573">
        <v>0</v>
      </c>
      <c r="Q209" s="573">
        <v>0</v>
      </c>
      <c r="R209" s="573">
        <v>0</v>
      </c>
      <c r="S209" s="573">
        <v>0</v>
      </c>
      <c r="T209" s="573">
        <v>0</v>
      </c>
      <c r="U209" s="573">
        <v>0</v>
      </c>
      <c r="V209" s="573">
        <v>0</v>
      </c>
      <c r="W209" s="573">
        <v>0</v>
      </c>
      <c r="X209" s="573">
        <v>0</v>
      </c>
      <c r="Y209" s="573">
        <v>0</v>
      </c>
      <c r="Z209" s="573">
        <v>0</v>
      </c>
      <c r="AA209" s="573">
        <v>0</v>
      </c>
      <c r="AB209" s="573">
        <v>0</v>
      </c>
      <c r="AC209" s="573">
        <v>0</v>
      </c>
      <c r="AD209" s="573">
        <v>0</v>
      </c>
      <c r="AE209" s="573">
        <v>0</v>
      </c>
      <c r="AF209" s="573">
        <v>0</v>
      </c>
      <c r="AG209" s="573">
        <v>0</v>
      </c>
      <c r="AH209" s="573">
        <v>0</v>
      </c>
      <c r="AI209" s="573" t="e">
        <f>SUMIFS([12]Налоги!AH$15:AH$43,[12]Налоги!$A$15:$A$43,$A209,[12]Налоги!$M$15:$M$43,$B209)</f>
        <v>#VALUE!</v>
      </c>
      <c r="AJ209" s="573" t="e">
        <f>SUMIFS([12]Налоги!AI$15:AI$43,[12]Налоги!$A$15:$A$43,$A209,[12]Налоги!$M$15:$M$43,$B209)</f>
        <v>#VALUE!</v>
      </c>
      <c r="AK209" s="573" t="e">
        <f>SUMIFS([12]Налоги!AJ$15:AJ$43,[12]Налоги!$A$15:$A$43,$A209,[12]Налоги!$M$15:$M$43,$B209)</f>
        <v>#VALUE!</v>
      </c>
      <c r="AL209" s="573" t="e">
        <f>SUMIFS([12]Налоги!AK$15:AK$43,[12]Налоги!$A$15:$A$43,$A209,[12]Налоги!$M$15:$M$43,$B209)</f>
        <v>#VALUE!</v>
      </c>
      <c r="AM209" s="573" t="e">
        <f>SUMIFS([12]Налоги!AL$15:AL$43,[12]Налоги!$A$15:$A$43,$A209,[12]Налоги!$M$15:$M$43,$B209)</f>
        <v>#VALUE!</v>
      </c>
      <c r="AN209" s="573">
        <f t="shared" si="40"/>
        <v>0</v>
      </c>
      <c r="AO209" s="573">
        <f t="shared" ref="AO209:AW224" si="47">IF(AD209=0,0,(AE209-AD209)/AD209*100)</f>
        <v>0</v>
      </c>
      <c r="AP209" s="573">
        <f t="shared" si="47"/>
        <v>0</v>
      </c>
      <c r="AQ209" s="573">
        <f t="shared" si="47"/>
        <v>0</v>
      </c>
      <c r="AR209" s="573">
        <f t="shared" si="47"/>
        <v>0</v>
      </c>
      <c r="AS209" s="573">
        <f t="shared" si="47"/>
        <v>0</v>
      </c>
      <c r="AT209" s="573" t="e">
        <f t="shared" si="47"/>
        <v>#VALUE!</v>
      </c>
      <c r="AU209" s="573" t="e">
        <f t="shared" si="47"/>
        <v>#VALUE!</v>
      </c>
      <c r="AV209" s="573" t="e">
        <f t="shared" si="47"/>
        <v>#VALUE!</v>
      </c>
      <c r="AW209" s="573" t="e">
        <f t="shared" si="47"/>
        <v>#VALUE!</v>
      </c>
      <c r="AX209" s="565"/>
      <c r="AY209" s="565"/>
      <c r="AZ209" s="565"/>
    </row>
    <row r="210" spans="1:52" ht="11.25" hidden="1" outlineLevel="1" x14ac:dyDescent="0.2">
      <c r="A210" s="557" t="str">
        <f t="shared" si="46"/>
        <v>2</v>
      </c>
      <c r="B210" s="537" t="s">
        <v>781</v>
      </c>
      <c r="D210" s="537" t="s">
        <v>782</v>
      </c>
      <c r="L210" s="568" t="s">
        <v>783</v>
      </c>
      <c r="M210" s="578" t="s">
        <v>784</v>
      </c>
      <c r="N210" s="570" t="s">
        <v>106</v>
      </c>
      <c r="O210" s="573">
        <v>0</v>
      </c>
      <c r="P210" s="573">
        <v>0</v>
      </c>
      <c r="Q210" s="573">
        <v>0</v>
      </c>
      <c r="R210" s="573">
        <v>0</v>
      </c>
      <c r="S210" s="573">
        <v>0</v>
      </c>
      <c r="T210" s="573">
        <v>0</v>
      </c>
      <c r="U210" s="573">
        <v>0</v>
      </c>
      <c r="V210" s="573">
        <v>0</v>
      </c>
      <c r="W210" s="573">
        <v>0</v>
      </c>
      <c r="X210" s="573">
        <v>0</v>
      </c>
      <c r="Y210" s="573">
        <v>0</v>
      </c>
      <c r="Z210" s="573">
        <v>0</v>
      </c>
      <c r="AA210" s="573">
        <v>0</v>
      </c>
      <c r="AB210" s="573">
        <v>0</v>
      </c>
      <c r="AC210" s="573">
        <v>0</v>
      </c>
      <c r="AD210" s="573">
        <v>0</v>
      </c>
      <c r="AE210" s="573">
        <v>0</v>
      </c>
      <c r="AF210" s="573">
        <v>0</v>
      </c>
      <c r="AG210" s="573">
        <v>0</v>
      </c>
      <c r="AH210" s="573">
        <v>0</v>
      </c>
      <c r="AI210" s="573" t="e">
        <f>SUMIFS([12]Налоги!AH$15:AH$43,[12]Налоги!$A$15:$A$43,$A210,[12]Налоги!$M$15:$M$43,$B210)</f>
        <v>#VALUE!</v>
      </c>
      <c r="AJ210" s="573" t="e">
        <f>SUMIFS([12]Налоги!AI$15:AI$43,[12]Налоги!$A$15:$A$43,$A210,[12]Налоги!$M$15:$M$43,$B210)</f>
        <v>#VALUE!</v>
      </c>
      <c r="AK210" s="573" t="e">
        <f>SUMIFS([12]Налоги!AJ$15:AJ$43,[12]Налоги!$A$15:$A$43,$A210,[12]Налоги!$M$15:$M$43,$B210)</f>
        <v>#VALUE!</v>
      </c>
      <c r="AL210" s="573" t="e">
        <f>SUMIFS([12]Налоги!AK$15:AK$43,[12]Налоги!$A$15:$A$43,$A210,[12]Налоги!$M$15:$M$43,$B210)</f>
        <v>#VALUE!</v>
      </c>
      <c r="AM210" s="573" t="e">
        <f>SUMIFS([12]Налоги!AL$15:AL$43,[12]Налоги!$A$15:$A$43,$A210,[12]Налоги!$M$15:$M$43,$B210)</f>
        <v>#VALUE!</v>
      </c>
      <c r="AN210" s="573">
        <f t="shared" si="40"/>
        <v>0</v>
      </c>
      <c r="AO210" s="573">
        <f t="shared" si="47"/>
        <v>0</v>
      </c>
      <c r="AP210" s="573">
        <f t="shared" si="47"/>
        <v>0</v>
      </c>
      <c r="AQ210" s="573">
        <f t="shared" si="47"/>
        <v>0</v>
      </c>
      <c r="AR210" s="573">
        <f t="shared" si="47"/>
        <v>0</v>
      </c>
      <c r="AS210" s="573">
        <f t="shared" si="47"/>
        <v>0</v>
      </c>
      <c r="AT210" s="573" t="e">
        <f t="shared" si="47"/>
        <v>#VALUE!</v>
      </c>
      <c r="AU210" s="573" t="e">
        <f t="shared" si="47"/>
        <v>#VALUE!</v>
      </c>
      <c r="AV210" s="573" t="e">
        <f t="shared" si="47"/>
        <v>#VALUE!</v>
      </c>
      <c r="AW210" s="573" t="e">
        <f t="shared" si="47"/>
        <v>#VALUE!</v>
      </c>
      <c r="AX210" s="565"/>
      <c r="AY210" s="565"/>
      <c r="AZ210" s="565"/>
    </row>
    <row r="211" spans="1:52" ht="11.25" hidden="1" outlineLevel="1" x14ac:dyDescent="0.2">
      <c r="A211" s="557" t="str">
        <f t="shared" si="46"/>
        <v>2</v>
      </c>
      <c r="B211" s="537" t="s">
        <v>785</v>
      </c>
      <c r="D211" s="537" t="s">
        <v>786</v>
      </c>
      <c r="L211" s="568" t="s">
        <v>787</v>
      </c>
      <c r="M211" s="578" t="s">
        <v>788</v>
      </c>
      <c r="N211" s="570" t="s">
        <v>106</v>
      </c>
      <c r="O211" s="573">
        <v>0</v>
      </c>
      <c r="P211" s="573">
        <v>0</v>
      </c>
      <c r="Q211" s="573">
        <v>0</v>
      </c>
      <c r="R211" s="573">
        <v>0</v>
      </c>
      <c r="S211" s="573">
        <v>0</v>
      </c>
      <c r="T211" s="573">
        <v>0</v>
      </c>
      <c r="U211" s="573">
        <v>0</v>
      </c>
      <c r="V211" s="573">
        <v>0</v>
      </c>
      <c r="W211" s="573">
        <v>0</v>
      </c>
      <c r="X211" s="573">
        <v>0</v>
      </c>
      <c r="Y211" s="573">
        <v>0</v>
      </c>
      <c r="Z211" s="573">
        <v>0</v>
      </c>
      <c r="AA211" s="573">
        <v>0</v>
      </c>
      <c r="AB211" s="573">
        <v>0</v>
      </c>
      <c r="AC211" s="573">
        <v>0</v>
      </c>
      <c r="AD211" s="573">
        <v>0</v>
      </c>
      <c r="AE211" s="573">
        <v>0</v>
      </c>
      <c r="AF211" s="573">
        <v>0</v>
      </c>
      <c r="AG211" s="573">
        <v>0</v>
      </c>
      <c r="AH211" s="573">
        <v>0</v>
      </c>
      <c r="AI211" s="573" t="e">
        <f>SUMIFS([12]Налоги!AH$15:AH$43,[12]Налоги!$A$15:$A$43,$A211,[12]Налоги!$M$15:$M$43,$B211)</f>
        <v>#VALUE!</v>
      </c>
      <c r="AJ211" s="573" t="e">
        <f>SUMIFS([12]Налоги!AI$15:AI$43,[12]Налоги!$A$15:$A$43,$A211,[12]Налоги!$M$15:$M$43,$B211)</f>
        <v>#VALUE!</v>
      </c>
      <c r="AK211" s="573" t="e">
        <f>SUMIFS([12]Налоги!AJ$15:AJ$43,[12]Налоги!$A$15:$A$43,$A211,[12]Налоги!$M$15:$M$43,$B211)</f>
        <v>#VALUE!</v>
      </c>
      <c r="AL211" s="573" t="e">
        <f>SUMIFS([12]Налоги!AK$15:AK$43,[12]Налоги!$A$15:$A$43,$A211,[12]Налоги!$M$15:$M$43,$B211)</f>
        <v>#VALUE!</v>
      </c>
      <c r="AM211" s="573" t="e">
        <f>SUMIFS([12]Налоги!AL$15:AL$43,[12]Налоги!$A$15:$A$43,$A211,[12]Налоги!$M$15:$M$43,$B211)</f>
        <v>#VALUE!</v>
      </c>
      <c r="AN211" s="573">
        <f t="shared" si="40"/>
        <v>0</v>
      </c>
      <c r="AO211" s="573">
        <f t="shared" si="47"/>
        <v>0</v>
      </c>
      <c r="AP211" s="573">
        <f t="shared" si="47"/>
        <v>0</v>
      </c>
      <c r="AQ211" s="573">
        <f t="shared" si="47"/>
        <v>0</v>
      </c>
      <c r="AR211" s="573">
        <f t="shared" si="47"/>
        <v>0</v>
      </c>
      <c r="AS211" s="573">
        <f t="shared" si="47"/>
        <v>0</v>
      </c>
      <c r="AT211" s="573" t="e">
        <f t="shared" si="47"/>
        <v>#VALUE!</v>
      </c>
      <c r="AU211" s="573" t="e">
        <f t="shared" si="47"/>
        <v>#VALUE!</v>
      </c>
      <c r="AV211" s="573" t="e">
        <f t="shared" si="47"/>
        <v>#VALUE!</v>
      </c>
      <c r="AW211" s="573" t="e">
        <f t="shared" si="47"/>
        <v>#VALUE!</v>
      </c>
      <c r="AX211" s="565"/>
      <c r="AY211" s="565"/>
      <c r="AZ211" s="565"/>
    </row>
    <row r="212" spans="1:52" ht="11.25" hidden="1" outlineLevel="1" x14ac:dyDescent="0.2">
      <c r="A212" s="557" t="str">
        <f t="shared" si="46"/>
        <v>2</v>
      </c>
      <c r="B212" s="537" t="s">
        <v>158</v>
      </c>
      <c r="D212" s="537" t="s">
        <v>789</v>
      </c>
      <c r="L212" s="568" t="s">
        <v>790</v>
      </c>
      <c r="M212" s="578" t="s">
        <v>791</v>
      </c>
      <c r="N212" s="570" t="s">
        <v>106</v>
      </c>
      <c r="O212" s="573">
        <v>0.03</v>
      </c>
      <c r="P212" s="573">
        <v>0</v>
      </c>
      <c r="Q212" s="573">
        <v>0</v>
      </c>
      <c r="R212" s="573">
        <v>0</v>
      </c>
      <c r="S212" s="573">
        <v>0</v>
      </c>
      <c r="T212" s="573">
        <v>0</v>
      </c>
      <c r="U212" s="573">
        <v>0</v>
      </c>
      <c r="V212" s="573">
        <v>0</v>
      </c>
      <c r="W212" s="573">
        <v>0</v>
      </c>
      <c r="X212" s="573">
        <v>0</v>
      </c>
      <c r="Y212" s="573">
        <v>0</v>
      </c>
      <c r="Z212" s="573">
        <v>0</v>
      </c>
      <c r="AA212" s="573">
        <v>0</v>
      </c>
      <c r="AB212" s="573">
        <v>0</v>
      </c>
      <c r="AC212" s="573">
        <v>0</v>
      </c>
      <c r="AD212" s="573">
        <v>0</v>
      </c>
      <c r="AE212" s="573">
        <v>0</v>
      </c>
      <c r="AF212" s="573">
        <v>0</v>
      </c>
      <c r="AG212" s="573">
        <v>0</v>
      </c>
      <c r="AH212" s="573">
        <v>0</v>
      </c>
      <c r="AI212" s="573" t="e">
        <f>SUMIFS([12]Налоги!AH$15:AH$43,[12]Налоги!$A$15:$A$43,$A212,[12]Налоги!$M$15:$M$43,$B212)</f>
        <v>#VALUE!</v>
      </c>
      <c r="AJ212" s="573" t="e">
        <f>SUMIFS([12]Налоги!AI$15:AI$43,[12]Налоги!$A$15:$A$43,$A212,[12]Налоги!$M$15:$M$43,$B212)</f>
        <v>#VALUE!</v>
      </c>
      <c r="AK212" s="573" t="e">
        <f>SUMIFS([12]Налоги!AJ$15:AJ$43,[12]Налоги!$A$15:$A$43,$A212,[12]Налоги!$M$15:$M$43,$B212)</f>
        <v>#VALUE!</v>
      </c>
      <c r="AL212" s="573" t="e">
        <f>SUMIFS([12]Налоги!AK$15:AK$43,[12]Налоги!$A$15:$A$43,$A212,[12]Налоги!$M$15:$M$43,$B212)</f>
        <v>#VALUE!</v>
      </c>
      <c r="AM212" s="573" t="e">
        <f>SUMIFS([12]Налоги!AL$15:AL$43,[12]Налоги!$A$15:$A$43,$A212,[12]Налоги!$M$15:$M$43,$B212)</f>
        <v>#VALUE!</v>
      </c>
      <c r="AN212" s="573">
        <f t="shared" si="40"/>
        <v>0</v>
      </c>
      <c r="AO212" s="573">
        <f t="shared" si="47"/>
        <v>0</v>
      </c>
      <c r="AP212" s="573">
        <f t="shared" si="47"/>
        <v>0</v>
      </c>
      <c r="AQ212" s="573">
        <f t="shared" si="47"/>
        <v>0</v>
      </c>
      <c r="AR212" s="573">
        <f t="shared" si="47"/>
        <v>0</v>
      </c>
      <c r="AS212" s="573">
        <f t="shared" si="47"/>
        <v>0</v>
      </c>
      <c r="AT212" s="573" t="e">
        <f t="shared" si="47"/>
        <v>#VALUE!</v>
      </c>
      <c r="AU212" s="573" t="e">
        <f t="shared" si="47"/>
        <v>#VALUE!</v>
      </c>
      <c r="AV212" s="573" t="e">
        <f t="shared" si="47"/>
        <v>#VALUE!</v>
      </c>
      <c r="AW212" s="573" t="e">
        <f t="shared" si="47"/>
        <v>#VALUE!</v>
      </c>
      <c r="AX212" s="565"/>
      <c r="AY212" s="565"/>
      <c r="AZ212" s="565"/>
    </row>
    <row r="213" spans="1:52" ht="11.25" hidden="1" outlineLevel="1" x14ac:dyDescent="0.2">
      <c r="A213" s="557" t="str">
        <f t="shared" si="46"/>
        <v>2</v>
      </c>
      <c r="B213" s="537" t="s">
        <v>152</v>
      </c>
      <c r="D213" s="537" t="s">
        <v>792</v>
      </c>
      <c r="L213" s="568" t="s">
        <v>793</v>
      </c>
      <c r="M213" s="578" t="s">
        <v>794</v>
      </c>
      <c r="N213" s="570" t="s">
        <v>106</v>
      </c>
      <c r="O213" s="583">
        <v>0</v>
      </c>
      <c r="P213" s="583">
        <v>0</v>
      </c>
      <c r="Q213" s="583">
        <v>0</v>
      </c>
      <c r="R213" s="573">
        <v>0</v>
      </c>
      <c r="S213" s="583">
        <v>0</v>
      </c>
      <c r="T213" s="583">
        <v>0</v>
      </c>
      <c r="U213" s="583">
        <v>0</v>
      </c>
      <c r="V213" s="583">
        <v>0</v>
      </c>
      <c r="W213" s="583">
        <v>0</v>
      </c>
      <c r="X213" s="583">
        <v>0</v>
      </c>
      <c r="Y213" s="583">
        <v>0</v>
      </c>
      <c r="Z213" s="583">
        <v>0</v>
      </c>
      <c r="AA213" s="583">
        <v>0</v>
      </c>
      <c r="AB213" s="583">
        <v>0</v>
      </c>
      <c r="AC213" s="583">
        <v>0</v>
      </c>
      <c r="AD213" s="583">
        <v>0</v>
      </c>
      <c r="AE213" s="583">
        <v>0</v>
      </c>
      <c r="AF213" s="583">
        <v>0</v>
      </c>
      <c r="AG213" s="583">
        <v>0</v>
      </c>
      <c r="AH213" s="583">
        <v>0</v>
      </c>
      <c r="AI213" s="583" t="e">
        <f>SUMIFS([12]Налоги!AH$15:AH$43,[12]Налоги!$A$15:$A$43,$A213,[12]Налоги!$M$15:$M$43,$B213)</f>
        <v>#VALUE!</v>
      </c>
      <c r="AJ213" s="583" t="e">
        <f>SUMIFS([12]Налоги!AI$15:AI$43,[12]Налоги!$A$15:$A$43,$A213,[12]Налоги!$M$15:$M$43,$B213)</f>
        <v>#VALUE!</v>
      </c>
      <c r="AK213" s="583" t="e">
        <f>SUMIFS([12]Налоги!AJ$15:AJ$43,[12]Налоги!$A$15:$A$43,$A213,[12]Налоги!$M$15:$M$43,$B213)</f>
        <v>#VALUE!</v>
      </c>
      <c r="AL213" s="583" t="e">
        <f>SUMIFS([12]Налоги!AK$15:AK$43,[12]Налоги!$A$15:$A$43,$A213,[12]Налоги!$M$15:$M$43,$B213)</f>
        <v>#VALUE!</v>
      </c>
      <c r="AM213" s="583" t="e">
        <f>SUMIFS([12]Налоги!AL$15:AL$43,[12]Налоги!$A$15:$A$43,$A213,[12]Налоги!$M$15:$M$43,$B213)</f>
        <v>#VALUE!</v>
      </c>
      <c r="AN213" s="573">
        <f t="shared" si="40"/>
        <v>0</v>
      </c>
      <c r="AO213" s="573">
        <f t="shared" si="47"/>
        <v>0</v>
      </c>
      <c r="AP213" s="573">
        <f t="shared" si="47"/>
        <v>0</v>
      </c>
      <c r="AQ213" s="573">
        <f t="shared" si="47"/>
        <v>0</v>
      </c>
      <c r="AR213" s="573">
        <f t="shared" si="47"/>
        <v>0</v>
      </c>
      <c r="AS213" s="573">
        <f t="shared" si="47"/>
        <v>0</v>
      </c>
      <c r="AT213" s="573" t="e">
        <f t="shared" si="47"/>
        <v>#VALUE!</v>
      </c>
      <c r="AU213" s="573" t="e">
        <f t="shared" si="47"/>
        <v>#VALUE!</v>
      </c>
      <c r="AV213" s="573" t="e">
        <f t="shared" si="47"/>
        <v>#VALUE!</v>
      </c>
      <c r="AW213" s="573" t="e">
        <f t="shared" si="47"/>
        <v>#VALUE!</v>
      </c>
      <c r="AX213" s="565"/>
      <c r="AY213" s="565"/>
      <c r="AZ213" s="565"/>
    </row>
    <row r="214" spans="1:52" ht="11.25" outlineLevel="1" x14ac:dyDescent="0.2">
      <c r="A214" s="557" t="str">
        <f t="shared" si="46"/>
        <v>2</v>
      </c>
      <c r="B214" s="537" t="s">
        <v>795</v>
      </c>
      <c r="D214" s="537" t="s">
        <v>796</v>
      </c>
      <c r="L214" s="568" t="s">
        <v>797</v>
      </c>
      <c r="M214" s="578" t="s">
        <v>798</v>
      </c>
      <c r="N214" s="570" t="s">
        <v>106</v>
      </c>
      <c r="O214" s="573">
        <v>0</v>
      </c>
      <c r="P214" s="573">
        <v>0</v>
      </c>
      <c r="Q214" s="573">
        <v>0</v>
      </c>
      <c r="R214" s="573">
        <v>0</v>
      </c>
      <c r="S214" s="573">
        <v>0</v>
      </c>
      <c r="T214" s="573">
        <v>0</v>
      </c>
      <c r="U214" s="573">
        <v>0</v>
      </c>
      <c r="V214" s="573">
        <v>0</v>
      </c>
      <c r="W214" s="573">
        <v>0</v>
      </c>
      <c r="X214" s="573">
        <v>0</v>
      </c>
      <c r="Y214" s="573">
        <v>0</v>
      </c>
      <c r="Z214" s="573">
        <v>0</v>
      </c>
      <c r="AA214" s="573">
        <v>0</v>
      </c>
      <c r="AB214" s="573">
        <v>0</v>
      </c>
      <c r="AC214" s="573">
        <v>0</v>
      </c>
      <c r="AD214" s="573">
        <v>3.8112458088703596</v>
      </c>
      <c r="AE214" s="573">
        <v>3.98</v>
      </c>
      <c r="AF214" s="573">
        <v>4.21</v>
      </c>
      <c r="AG214" s="573">
        <v>4.34</v>
      </c>
      <c r="AH214" s="573">
        <v>4.58</v>
      </c>
      <c r="AI214" s="573" t="e">
        <f>SUMIFS([12]Налоги!AH$15:AH$43,[12]Налоги!$A$15:$A$43,$A214,[12]Налоги!$M$15:$M$43,$B214)</f>
        <v>#VALUE!</v>
      </c>
      <c r="AJ214" s="573" t="e">
        <f>SUMIFS([12]Налоги!AI$15:AI$43,[12]Налоги!$A$15:$A$43,$A214,[12]Налоги!$M$15:$M$43,$B214)</f>
        <v>#VALUE!</v>
      </c>
      <c r="AK214" s="573" t="e">
        <f>SUMIFS([12]Налоги!AJ$15:AJ$43,[12]Налоги!$A$15:$A$43,$A214,[12]Налоги!$M$15:$M$43,$B214)</f>
        <v>#VALUE!</v>
      </c>
      <c r="AL214" s="573" t="e">
        <f>SUMIFS([12]Налоги!AK$15:AK$43,[12]Налоги!$A$15:$A$43,$A214,[12]Налоги!$M$15:$M$43,$B214)</f>
        <v>#VALUE!</v>
      </c>
      <c r="AM214" s="573" t="e">
        <f>SUMIFS([12]Налоги!AL$15:AL$43,[12]Налоги!$A$15:$A$43,$A214,[12]Налоги!$M$15:$M$43,$B214)</f>
        <v>#VALUE!</v>
      </c>
      <c r="AN214" s="573">
        <f t="shared" si="40"/>
        <v>0</v>
      </c>
      <c r="AO214" s="573">
        <f t="shared" si="47"/>
        <v>4.4277960434060422</v>
      </c>
      <c r="AP214" s="573">
        <f t="shared" si="47"/>
        <v>5.7788944723618085</v>
      </c>
      <c r="AQ214" s="573">
        <f t="shared" si="47"/>
        <v>3.0878859857482159</v>
      </c>
      <c r="AR214" s="573">
        <f t="shared" si="47"/>
        <v>5.5299539170506966</v>
      </c>
      <c r="AS214" s="573" t="e">
        <f t="shared" si="47"/>
        <v>#VALUE!</v>
      </c>
      <c r="AT214" s="573" t="e">
        <f t="shared" si="47"/>
        <v>#VALUE!</v>
      </c>
      <c r="AU214" s="573" t="e">
        <f t="shared" si="47"/>
        <v>#VALUE!</v>
      </c>
      <c r="AV214" s="573" t="e">
        <f t="shared" si="47"/>
        <v>#VALUE!</v>
      </c>
      <c r="AW214" s="573" t="e">
        <f t="shared" si="47"/>
        <v>#VALUE!</v>
      </c>
      <c r="AX214" s="565"/>
      <c r="AY214" s="565"/>
      <c r="AZ214" s="565"/>
    </row>
    <row r="215" spans="1:52" ht="11.25" outlineLevel="1" x14ac:dyDescent="0.2">
      <c r="A215" s="557" t="str">
        <f t="shared" si="46"/>
        <v>2</v>
      </c>
      <c r="B215" s="537" t="s">
        <v>160</v>
      </c>
      <c r="D215" s="537" t="s">
        <v>799</v>
      </c>
      <c r="L215" s="568" t="s">
        <v>800</v>
      </c>
      <c r="M215" s="604" t="s">
        <v>801</v>
      </c>
      <c r="N215" s="570" t="s">
        <v>106</v>
      </c>
      <c r="O215" s="573">
        <v>4.28</v>
      </c>
      <c r="P215" s="573">
        <v>0</v>
      </c>
      <c r="Q215" s="573">
        <v>0</v>
      </c>
      <c r="R215" s="573">
        <v>0</v>
      </c>
      <c r="S215" s="573">
        <v>0</v>
      </c>
      <c r="T215" s="573">
        <v>0</v>
      </c>
      <c r="U215" s="573">
        <v>0</v>
      </c>
      <c r="V215" s="573">
        <v>0</v>
      </c>
      <c r="W215" s="573">
        <v>0</v>
      </c>
      <c r="X215" s="573">
        <v>0</v>
      </c>
      <c r="Y215" s="573">
        <v>0</v>
      </c>
      <c r="Z215" s="573">
        <v>0</v>
      </c>
      <c r="AA215" s="573">
        <v>0</v>
      </c>
      <c r="AB215" s="573">
        <v>0</v>
      </c>
      <c r="AC215" s="573">
        <v>0</v>
      </c>
      <c r="AD215" s="573">
        <v>0</v>
      </c>
      <c r="AE215" s="573">
        <v>0</v>
      </c>
      <c r="AF215" s="573">
        <v>0</v>
      </c>
      <c r="AG215" s="573">
        <v>0</v>
      </c>
      <c r="AH215" s="573">
        <v>0</v>
      </c>
      <c r="AI215" s="573" t="e">
        <f>SUMIFS([12]Налоги!AH$15:AH$43,[12]Налоги!$A$15:$A$43,$A215,[12]Налоги!$M$15:$M$43,$B215)</f>
        <v>#VALUE!</v>
      </c>
      <c r="AJ215" s="573" t="e">
        <f>SUMIFS([12]Налоги!AI$15:AI$43,[12]Налоги!$A$15:$A$43,$A215,[12]Налоги!$M$15:$M$43,$B215)</f>
        <v>#VALUE!</v>
      </c>
      <c r="AK215" s="573" t="e">
        <f>SUMIFS([12]Налоги!AJ$15:AJ$43,[12]Налоги!$A$15:$A$43,$A215,[12]Налоги!$M$15:$M$43,$B215)</f>
        <v>#VALUE!</v>
      </c>
      <c r="AL215" s="573" t="e">
        <f>SUMIFS([12]Налоги!AK$15:AK$43,[12]Налоги!$A$15:$A$43,$A215,[12]Налоги!$M$15:$M$43,$B215)</f>
        <v>#VALUE!</v>
      </c>
      <c r="AM215" s="573" t="e">
        <f>SUMIFS([12]Налоги!AL$15:AL$43,[12]Налоги!$A$15:$A$43,$A215,[12]Налоги!$M$15:$M$43,$B215)</f>
        <v>#VALUE!</v>
      </c>
      <c r="AN215" s="573">
        <f t="shared" si="40"/>
        <v>0</v>
      </c>
      <c r="AO215" s="573">
        <f t="shared" si="47"/>
        <v>0</v>
      </c>
      <c r="AP215" s="573">
        <f t="shared" si="47"/>
        <v>0</v>
      </c>
      <c r="AQ215" s="573">
        <f t="shared" si="47"/>
        <v>0</v>
      </c>
      <c r="AR215" s="573">
        <f t="shared" si="47"/>
        <v>0</v>
      </c>
      <c r="AS215" s="573">
        <f t="shared" si="47"/>
        <v>0</v>
      </c>
      <c r="AT215" s="573" t="e">
        <f t="shared" si="47"/>
        <v>#VALUE!</v>
      </c>
      <c r="AU215" s="573" t="e">
        <f t="shared" si="47"/>
        <v>#VALUE!</v>
      </c>
      <c r="AV215" s="573" t="e">
        <f t="shared" si="47"/>
        <v>#VALUE!</v>
      </c>
      <c r="AW215" s="573" t="e">
        <f t="shared" si="47"/>
        <v>#VALUE!</v>
      </c>
      <c r="AX215" s="565"/>
      <c r="AY215" s="565"/>
      <c r="AZ215" s="565"/>
    </row>
    <row r="216" spans="1:52" ht="67.5" hidden="1" outlineLevel="1" x14ac:dyDescent="0.2">
      <c r="A216" s="557" t="str">
        <f t="shared" si="46"/>
        <v>2</v>
      </c>
      <c r="B216" s="537" t="s">
        <v>802</v>
      </c>
      <c r="D216" s="537" t="s">
        <v>803</v>
      </c>
      <c r="L216" s="568" t="s">
        <v>804</v>
      </c>
      <c r="M216" s="605" t="s">
        <v>805</v>
      </c>
      <c r="N216" s="570" t="s">
        <v>106</v>
      </c>
      <c r="O216" s="606"/>
      <c r="P216" s="606"/>
      <c r="Q216" s="606"/>
      <c r="R216" s="573">
        <v>0</v>
      </c>
      <c r="S216" s="606"/>
      <c r="T216" s="606"/>
      <c r="U216" s="606"/>
      <c r="V216" s="606"/>
      <c r="W216" s="606"/>
      <c r="X216" s="606"/>
      <c r="Y216" s="606"/>
      <c r="Z216" s="606"/>
      <c r="AA216" s="606"/>
      <c r="AB216" s="606"/>
      <c r="AC216" s="606"/>
      <c r="AD216" s="606"/>
      <c r="AE216" s="606"/>
      <c r="AF216" s="606"/>
      <c r="AG216" s="606"/>
      <c r="AH216" s="606"/>
      <c r="AI216" s="606"/>
      <c r="AJ216" s="606"/>
      <c r="AK216" s="606"/>
      <c r="AL216" s="606"/>
      <c r="AM216" s="606"/>
      <c r="AN216" s="573">
        <f t="shared" si="40"/>
        <v>0</v>
      </c>
      <c r="AO216" s="573">
        <f t="shared" si="47"/>
        <v>0</v>
      </c>
      <c r="AP216" s="573">
        <f t="shared" si="47"/>
        <v>0</v>
      </c>
      <c r="AQ216" s="573">
        <f t="shared" si="47"/>
        <v>0</v>
      </c>
      <c r="AR216" s="573">
        <f t="shared" si="47"/>
        <v>0</v>
      </c>
      <c r="AS216" s="573">
        <f t="shared" si="47"/>
        <v>0</v>
      </c>
      <c r="AT216" s="573">
        <f t="shared" si="47"/>
        <v>0</v>
      </c>
      <c r="AU216" s="573">
        <f t="shared" si="47"/>
        <v>0</v>
      </c>
      <c r="AV216" s="573">
        <f t="shared" si="47"/>
        <v>0</v>
      </c>
      <c r="AW216" s="573">
        <f t="shared" si="47"/>
        <v>0</v>
      </c>
      <c r="AX216" s="565"/>
      <c r="AY216" s="565"/>
      <c r="AZ216" s="565"/>
    </row>
    <row r="217" spans="1:52" ht="11.25" hidden="1" outlineLevel="1" x14ac:dyDescent="0.2">
      <c r="A217" s="557" t="str">
        <f t="shared" si="46"/>
        <v>2</v>
      </c>
      <c r="B217" s="537" t="s">
        <v>806</v>
      </c>
      <c r="D217" s="537" t="s">
        <v>807</v>
      </c>
      <c r="L217" s="568" t="s">
        <v>808</v>
      </c>
      <c r="M217" s="569" t="s">
        <v>806</v>
      </c>
      <c r="N217" s="570" t="s">
        <v>106</v>
      </c>
      <c r="O217" s="573">
        <v>0</v>
      </c>
      <c r="P217" s="573">
        <v>0</v>
      </c>
      <c r="Q217" s="573">
        <v>0</v>
      </c>
      <c r="R217" s="573">
        <v>0</v>
      </c>
      <c r="S217" s="573">
        <v>0</v>
      </c>
      <c r="T217" s="573">
        <v>0</v>
      </c>
      <c r="U217" s="573">
        <v>0</v>
      </c>
      <c r="V217" s="573">
        <v>0</v>
      </c>
      <c r="W217" s="573">
        <v>0</v>
      </c>
      <c r="X217" s="573">
        <v>0</v>
      </c>
      <c r="Y217" s="573">
        <v>0</v>
      </c>
      <c r="Z217" s="573">
        <v>0</v>
      </c>
      <c r="AA217" s="573">
        <v>0</v>
      </c>
      <c r="AB217" s="573">
        <v>0</v>
      </c>
      <c r="AC217" s="573">
        <v>0</v>
      </c>
      <c r="AD217" s="573">
        <v>0</v>
      </c>
      <c r="AE217" s="573">
        <v>0</v>
      </c>
      <c r="AF217" s="573">
        <v>0</v>
      </c>
      <c r="AG217" s="573">
        <v>0</v>
      </c>
      <c r="AH217" s="573">
        <v>0</v>
      </c>
      <c r="AI217" s="573">
        <f>SUMIFS([12]Аренда!AH$15:AH$32,[12]Аренда!$A$15:$A$32,$A217,[12]Аренда!$M$15:$M$32,"Арендная и концессионная плата. Лизинговые платежи")</f>
        <v>0</v>
      </c>
      <c r="AJ217" s="573">
        <f>SUMIFS([12]Аренда!AI$15:AI$32,[12]Аренда!$A$15:$A$32,$A217,[12]Аренда!$M$15:$M$32,"Арендная и концессионная плата. Лизинговые платежи")</f>
        <v>0</v>
      </c>
      <c r="AK217" s="573">
        <f>SUMIFS([12]Аренда!AJ$15:AJ$32,[12]Аренда!$A$15:$A$32,$A217,[12]Аренда!$M$15:$M$32,"Арендная и концессионная плата. Лизинговые платежи")</f>
        <v>0</v>
      </c>
      <c r="AL217" s="573">
        <f>SUMIFS([12]Аренда!AK$15:AK$32,[12]Аренда!$A$15:$A$32,$A217,[12]Аренда!$M$15:$M$32,"Арендная и концессионная плата. Лизинговые платежи")</f>
        <v>0</v>
      </c>
      <c r="AM217" s="573">
        <f>SUMIFS([12]Аренда!AL$15:AL$32,[12]Аренда!$A$15:$A$32,$A217,[12]Аренда!$M$15:$M$32,"Арендная и концессионная плата. Лизинговые платежи")</f>
        <v>0</v>
      </c>
      <c r="AN217" s="573">
        <f t="shared" ref="AN217:AN236" si="48">IF(S217=0,0,(AD217-S217)/S217*100)</f>
        <v>0</v>
      </c>
      <c r="AO217" s="573">
        <f t="shared" si="47"/>
        <v>0</v>
      </c>
      <c r="AP217" s="573">
        <f t="shared" si="47"/>
        <v>0</v>
      </c>
      <c r="AQ217" s="573">
        <f t="shared" si="47"/>
        <v>0</v>
      </c>
      <c r="AR217" s="573">
        <f t="shared" si="47"/>
        <v>0</v>
      </c>
      <c r="AS217" s="573">
        <f t="shared" si="47"/>
        <v>0</v>
      </c>
      <c r="AT217" s="573">
        <f t="shared" si="47"/>
        <v>0</v>
      </c>
      <c r="AU217" s="573">
        <f t="shared" si="47"/>
        <v>0</v>
      </c>
      <c r="AV217" s="573">
        <f t="shared" si="47"/>
        <v>0</v>
      </c>
      <c r="AW217" s="573">
        <f t="shared" si="47"/>
        <v>0</v>
      </c>
      <c r="AX217" s="565"/>
      <c r="AY217" s="565"/>
      <c r="AZ217" s="565"/>
    </row>
    <row r="218" spans="1:52" ht="11.25" hidden="1" outlineLevel="1" x14ac:dyDescent="0.2">
      <c r="A218" s="557" t="str">
        <f t="shared" si="46"/>
        <v>2</v>
      </c>
      <c r="D218" s="537" t="s">
        <v>809</v>
      </c>
      <c r="L218" s="568" t="s">
        <v>810</v>
      </c>
      <c r="M218" s="569" t="s">
        <v>173</v>
      </c>
      <c r="N218" s="570" t="s">
        <v>106</v>
      </c>
      <c r="O218" s="583">
        <v>0</v>
      </c>
      <c r="P218" s="583">
        <v>0</v>
      </c>
      <c r="Q218" s="583">
        <v>0</v>
      </c>
      <c r="R218" s="573">
        <v>0</v>
      </c>
      <c r="S218" s="583">
        <v>0</v>
      </c>
      <c r="T218" s="583">
        <v>0</v>
      </c>
      <c r="U218" s="583">
        <v>0</v>
      </c>
      <c r="V218" s="583">
        <v>0</v>
      </c>
      <c r="W218" s="583">
        <v>0</v>
      </c>
      <c r="X218" s="583">
        <v>0</v>
      </c>
      <c r="Y218" s="583">
        <v>0</v>
      </c>
      <c r="Z218" s="583">
        <v>0</v>
      </c>
      <c r="AA218" s="583">
        <v>0</v>
      </c>
      <c r="AB218" s="583">
        <v>0</v>
      </c>
      <c r="AC218" s="583">
        <v>0</v>
      </c>
      <c r="AD218" s="583">
        <v>0</v>
      </c>
      <c r="AE218" s="583">
        <v>0</v>
      </c>
      <c r="AF218" s="583">
        <v>0</v>
      </c>
      <c r="AG218" s="583">
        <v>0</v>
      </c>
      <c r="AH218" s="583">
        <v>0</v>
      </c>
      <c r="AI218" s="583">
        <f t="shared" ref="AI218:AM218" si="49">AI219</f>
        <v>0</v>
      </c>
      <c r="AJ218" s="583">
        <f t="shared" si="49"/>
        <v>0</v>
      </c>
      <c r="AK218" s="583">
        <f t="shared" si="49"/>
        <v>0</v>
      </c>
      <c r="AL218" s="583">
        <f t="shared" si="49"/>
        <v>0</v>
      </c>
      <c r="AM218" s="583">
        <f t="shared" si="49"/>
        <v>0</v>
      </c>
      <c r="AN218" s="573">
        <f t="shared" si="48"/>
        <v>0</v>
      </c>
      <c r="AO218" s="573">
        <f t="shared" si="47"/>
        <v>0</v>
      </c>
      <c r="AP218" s="573">
        <f t="shared" si="47"/>
        <v>0</v>
      </c>
      <c r="AQ218" s="573">
        <f t="shared" si="47"/>
        <v>0</v>
      </c>
      <c r="AR218" s="573">
        <f t="shared" si="47"/>
        <v>0</v>
      </c>
      <c r="AS218" s="573">
        <f t="shared" si="47"/>
        <v>0</v>
      </c>
      <c r="AT218" s="573">
        <f t="shared" si="47"/>
        <v>0</v>
      </c>
      <c r="AU218" s="573">
        <f t="shared" si="47"/>
        <v>0</v>
      </c>
      <c r="AV218" s="573">
        <f t="shared" si="47"/>
        <v>0</v>
      </c>
      <c r="AW218" s="573">
        <f t="shared" si="47"/>
        <v>0</v>
      </c>
      <c r="AX218" s="565"/>
      <c r="AY218" s="565"/>
      <c r="AZ218" s="565"/>
    </row>
    <row r="219" spans="1:52" ht="11.25" hidden="1" outlineLevel="1" x14ac:dyDescent="0.2">
      <c r="A219" s="557" t="str">
        <f t="shared" si="46"/>
        <v>2</v>
      </c>
      <c r="B219" s="537" t="s">
        <v>811</v>
      </c>
      <c r="D219" s="537" t="s">
        <v>812</v>
      </c>
      <c r="L219" s="568" t="s">
        <v>813</v>
      </c>
      <c r="M219" s="578" t="s">
        <v>811</v>
      </c>
      <c r="N219" s="570" t="s">
        <v>106</v>
      </c>
      <c r="O219" s="587">
        <v>0</v>
      </c>
      <c r="P219" s="587">
        <v>0</v>
      </c>
      <c r="Q219" s="587">
        <v>0</v>
      </c>
      <c r="R219" s="573">
        <v>0</v>
      </c>
      <c r="S219" s="587">
        <v>0</v>
      </c>
      <c r="T219" s="587">
        <v>0</v>
      </c>
      <c r="U219" s="583"/>
      <c r="V219" s="583"/>
      <c r="W219" s="583"/>
      <c r="X219" s="583"/>
      <c r="Y219" s="583"/>
      <c r="Z219" s="583"/>
      <c r="AA219" s="583"/>
      <c r="AB219" s="583"/>
      <c r="AC219" s="583"/>
      <c r="AD219" s="587">
        <v>0</v>
      </c>
      <c r="AE219" s="583"/>
      <c r="AF219" s="583"/>
      <c r="AG219" s="583"/>
      <c r="AH219" s="583"/>
      <c r="AI219" s="583"/>
      <c r="AJ219" s="583"/>
      <c r="AK219" s="583"/>
      <c r="AL219" s="583"/>
      <c r="AM219" s="583"/>
      <c r="AN219" s="573">
        <f t="shared" si="48"/>
        <v>0</v>
      </c>
      <c r="AO219" s="573">
        <f t="shared" si="47"/>
        <v>0</v>
      </c>
      <c r="AP219" s="573">
        <f t="shared" si="47"/>
        <v>0</v>
      </c>
      <c r="AQ219" s="573">
        <f t="shared" si="47"/>
        <v>0</v>
      </c>
      <c r="AR219" s="573">
        <f t="shared" si="47"/>
        <v>0</v>
      </c>
      <c r="AS219" s="573">
        <f t="shared" si="47"/>
        <v>0</v>
      </c>
      <c r="AT219" s="573">
        <f t="shared" si="47"/>
        <v>0</v>
      </c>
      <c r="AU219" s="573">
        <f t="shared" si="47"/>
        <v>0</v>
      </c>
      <c r="AV219" s="573">
        <f t="shared" si="47"/>
        <v>0</v>
      </c>
      <c r="AW219" s="573">
        <f t="shared" si="47"/>
        <v>0</v>
      </c>
      <c r="AX219" s="565"/>
      <c r="AY219" s="565"/>
      <c r="AZ219" s="565"/>
    </row>
    <row r="220" spans="1:52" ht="11.25" hidden="1" outlineLevel="1" x14ac:dyDescent="0.2">
      <c r="A220" s="557" t="str">
        <f t="shared" si="46"/>
        <v>2</v>
      </c>
      <c r="B220" s="537" t="s">
        <v>175</v>
      </c>
      <c r="D220" s="537" t="s">
        <v>814</v>
      </c>
      <c r="L220" s="568" t="s">
        <v>815</v>
      </c>
      <c r="M220" s="569" t="s">
        <v>175</v>
      </c>
      <c r="N220" s="570" t="s">
        <v>106</v>
      </c>
      <c r="O220" s="583"/>
      <c r="P220" s="583"/>
      <c r="Q220" s="583"/>
      <c r="R220" s="573">
        <v>0</v>
      </c>
      <c r="S220" s="583"/>
      <c r="T220" s="583">
        <v>0</v>
      </c>
      <c r="U220" s="583">
        <v>0</v>
      </c>
      <c r="V220" s="583">
        <v>0</v>
      </c>
      <c r="W220" s="583">
        <v>0</v>
      </c>
      <c r="X220" s="583">
        <v>0</v>
      </c>
      <c r="Y220" s="583">
        <v>0</v>
      </c>
      <c r="Z220" s="583">
        <v>0</v>
      </c>
      <c r="AA220" s="583">
        <v>0</v>
      </c>
      <c r="AB220" s="583">
        <v>0</v>
      </c>
      <c r="AC220" s="583">
        <v>0</v>
      </c>
      <c r="AD220" s="583">
        <v>0</v>
      </c>
      <c r="AE220" s="583">
        <v>0</v>
      </c>
      <c r="AF220" s="583">
        <v>0</v>
      </c>
      <c r="AG220" s="583">
        <v>0</v>
      </c>
      <c r="AH220" s="583">
        <v>0</v>
      </c>
      <c r="AI220" s="583">
        <f>SUMIFS([12]Экономия_корр!AD$15:AD$32,[12]Экономия_корр!$A$15:$A$32,$A220,[12]Экономия_корр!$M$15:$M$32,"Экономия расходов с учетом ИПЦ")</f>
        <v>0</v>
      </c>
      <c r="AJ220" s="583">
        <f>SUMIFS([12]Экономия_корр!AE$15:AE$32,[12]Экономия_корр!$A$15:$A$32,$A220,[12]Экономия_корр!$M$15:$M$32,"Экономия расходов с учетом ИПЦ")</f>
        <v>0</v>
      </c>
      <c r="AK220" s="583">
        <f>SUMIFS([12]Экономия_корр!AF$15:AF$32,[12]Экономия_корр!$A$15:$A$32,$A220,[12]Экономия_корр!$M$15:$M$32,"Экономия расходов с учетом ИПЦ")</f>
        <v>0</v>
      </c>
      <c r="AL220" s="583">
        <f>SUMIFS([12]Экономия_корр!AG$15:AG$32,[12]Экономия_корр!$A$15:$A$32,$A220,[12]Экономия_корр!$M$15:$M$32,"Экономия расходов с учетом ИПЦ")</f>
        <v>0</v>
      </c>
      <c r="AM220" s="583">
        <f>SUMIFS([12]Экономия_корр!AH$15:AH$32,[12]Экономия_корр!$A$15:$A$32,$A220,[12]Экономия_корр!$M$15:$M$32,"Экономия расходов с учетом ИПЦ")</f>
        <v>0</v>
      </c>
      <c r="AN220" s="573">
        <f t="shared" si="48"/>
        <v>0</v>
      </c>
      <c r="AO220" s="573">
        <f t="shared" si="47"/>
        <v>0</v>
      </c>
      <c r="AP220" s="573">
        <f t="shared" si="47"/>
        <v>0</v>
      </c>
      <c r="AQ220" s="573">
        <f t="shared" si="47"/>
        <v>0</v>
      </c>
      <c r="AR220" s="573">
        <f t="shared" si="47"/>
        <v>0</v>
      </c>
      <c r="AS220" s="573">
        <f t="shared" si="47"/>
        <v>0</v>
      </c>
      <c r="AT220" s="573">
        <f t="shared" si="47"/>
        <v>0</v>
      </c>
      <c r="AU220" s="573">
        <f t="shared" si="47"/>
        <v>0</v>
      </c>
      <c r="AV220" s="573">
        <f t="shared" si="47"/>
        <v>0</v>
      </c>
      <c r="AW220" s="573">
        <f t="shared" si="47"/>
        <v>0</v>
      </c>
      <c r="AX220" s="565"/>
      <c r="AY220" s="565"/>
      <c r="AZ220" s="565"/>
    </row>
    <row r="221" spans="1:52" ht="11.25" hidden="1" outlineLevel="1" x14ac:dyDescent="0.2">
      <c r="A221" s="557" t="str">
        <f t="shared" si="46"/>
        <v>2</v>
      </c>
      <c r="B221" s="537" t="s">
        <v>177</v>
      </c>
      <c r="D221" s="537" t="s">
        <v>816</v>
      </c>
      <c r="L221" s="568" t="s">
        <v>817</v>
      </c>
      <c r="M221" s="569" t="s">
        <v>177</v>
      </c>
      <c r="N221" s="570" t="s">
        <v>106</v>
      </c>
      <c r="O221" s="583"/>
      <c r="P221" s="583"/>
      <c r="Q221" s="583"/>
      <c r="R221" s="573">
        <v>0</v>
      </c>
      <c r="S221" s="583"/>
      <c r="T221" s="583"/>
      <c r="U221" s="583"/>
      <c r="V221" s="583"/>
      <c r="W221" s="583"/>
      <c r="X221" s="583"/>
      <c r="Y221" s="583"/>
      <c r="Z221" s="583"/>
      <c r="AA221" s="583"/>
      <c r="AB221" s="583"/>
      <c r="AC221" s="583"/>
      <c r="AD221" s="583"/>
      <c r="AE221" s="583"/>
      <c r="AF221" s="583"/>
      <c r="AG221" s="583"/>
      <c r="AH221" s="583"/>
      <c r="AI221" s="583"/>
      <c r="AJ221" s="583"/>
      <c r="AK221" s="583"/>
      <c r="AL221" s="583"/>
      <c r="AM221" s="583"/>
      <c r="AN221" s="573">
        <f t="shared" si="48"/>
        <v>0</v>
      </c>
      <c r="AO221" s="573">
        <f t="shared" si="47"/>
        <v>0</v>
      </c>
      <c r="AP221" s="573">
        <f t="shared" si="47"/>
        <v>0</v>
      </c>
      <c r="AQ221" s="573">
        <f t="shared" si="47"/>
        <v>0</v>
      </c>
      <c r="AR221" s="573">
        <f t="shared" si="47"/>
        <v>0</v>
      </c>
      <c r="AS221" s="573">
        <f t="shared" si="47"/>
        <v>0</v>
      </c>
      <c r="AT221" s="573">
        <f t="shared" si="47"/>
        <v>0</v>
      </c>
      <c r="AU221" s="573">
        <f t="shared" si="47"/>
        <v>0</v>
      </c>
      <c r="AV221" s="573">
        <f t="shared" si="47"/>
        <v>0</v>
      </c>
      <c r="AW221" s="573">
        <f t="shared" si="47"/>
        <v>0</v>
      </c>
      <c r="AX221" s="565"/>
      <c r="AY221" s="565"/>
      <c r="AZ221" s="565"/>
    </row>
    <row r="222" spans="1:52" ht="11.25" hidden="1" outlineLevel="1" x14ac:dyDescent="0.2">
      <c r="A222" s="557" t="str">
        <f t="shared" si="46"/>
        <v>2</v>
      </c>
      <c r="B222" s="537" t="s">
        <v>179</v>
      </c>
      <c r="D222" s="537" t="s">
        <v>818</v>
      </c>
      <c r="L222" s="568" t="s">
        <v>819</v>
      </c>
      <c r="M222" s="569" t="s">
        <v>179</v>
      </c>
      <c r="N222" s="570" t="s">
        <v>106</v>
      </c>
      <c r="O222" s="583"/>
      <c r="P222" s="583"/>
      <c r="Q222" s="583"/>
      <c r="R222" s="573">
        <v>0</v>
      </c>
      <c r="S222" s="583"/>
      <c r="T222" s="583"/>
      <c r="U222" s="583"/>
      <c r="V222" s="583"/>
      <c r="W222" s="583"/>
      <c r="X222" s="583"/>
      <c r="Y222" s="583"/>
      <c r="Z222" s="583"/>
      <c r="AA222" s="583"/>
      <c r="AB222" s="583"/>
      <c r="AC222" s="583"/>
      <c r="AD222" s="583"/>
      <c r="AE222" s="583"/>
      <c r="AF222" s="583"/>
      <c r="AG222" s="583"/>
      <c r="AH222" s="583"/>
      <c r="AI222" s="583"/>
      <c r="AJ222" s="583"/>
      <c r="AK222" s="583"/>
      <c r="AL222" s="583"/>
      <c r="AM222" s="583"/>
      <c r="AN222" s="573">
        <f t="shared" si="48"/>
        <v>0</v>
      </c>
      <c r="AO222" s="573">
        <f t="shared" si="47"/>
        <v>0</v>
      </c>
      <c r="AP222" s="573">
        <f t="shared" si="47"/>
        <v>0</v>
      </c>
      <c r="AQ222" s="573">
        <f t="shared" si="47"/>
        <v>0</v>
      </c>
      <c r="AR222" s="573">
        <f t="shared" si="47"/>
        <v>0</v>
      </c>
      <c r="AS222" s="573">
        <f t="shared" si="47"/>
        <v>0</v>
      </c>
      <c r="AT222" s="573">
        <f t="shared" si="47"/>
        <v>0</v>
      </c>
      <c r="AU222" s="573">
        <f t="shared" si="47"/>
        <v>0</v>
      </c>
      <c r="AV222" s="573">
        <f t="shared" si="47"/>
        <v>0</v>
      </c>
      <c r="AW222" s="573">
        <f t="shared" si="47"/>
        <v>0</v>
      </c>
      <c r="AX222" s="565"/>
      <c r="AY222" s="565"/>
      <c r="AZ222" s="565"/>
    </row>
    <row r="223" spans="1:52" ht="11.25" hidden="1" outlineLevel="1" x14ac:dyDescent="0.2">
      <c r="A223" s="557" t="str">
        <f t="shared" si="46"/>
        <v>2</v>
      </c>
      <c r="B223" s="537" t="s">
        <v>185</v>
      </c>
      <c r="D223" s="537" t="s">
        <v>820</v>
      </c>
      <c r="L223" s="568" t="s">
        <v>821</v>
      </c>
      <c r="M223" s="569" t="s">
        <v>185</v>
      </c>
      <c r="N223" s="570" t="s">
        <v>106</v>
      </c>
      <c r="O223" s="585">
        <v>0</v>
      </c>
      <c r="P223" s="573">
        <v>0</v>
      </c>
      <c r="Q223" s="573">
        <v>0</v>
      </c>
      <c r="R223" s="573">
        <v>0</v>
      </c>
      <c r="S223" s="573">
        <v>0</v>
      </c>
      <c r="T223" s="585">
        <v>0</v>
      </c>
      <c r="U223" s="573">
        <v>0</v>
      </c>
      <c r="V223" s="573">
        <v>0</v>
      </c>
      <c r="W223" s="573">
        <v>0</v>
      </c>
      <c r="X223" s="573">
        <v>0</v>
      </c>
      <c r="Y223" s="573">
        <v>0</v>
      </c>
      <c r="Z223" s="573">
        <v>0</v>
      </c>
      <c r="AA223" s="573">
        <v>0</v>
      </c>
      <c r="AB223" s="573">
        <v>0</v>
      </c>
      <c r="AC223" s="573">
        <v>0</v>
      </c>
      <c r="AD223" s="585">
        <v>0</v>
      </c>
      <c r="AE223" s="573">
        <v>0</v>
      </c>
      <c r="AF223" s="573">
        <v>0</v>
      </c>
      <c r="AG223" s="573">
        <v>0</v>
      </c>
      <c r="AH223" s="573">
        <v>0</v>
      </c>
      <c r="AI223" s="573">
        <f t="shared" ref="AI223:AM223" si="50">SUM(AI224,AI225)</f>
        <v>0</v>
      </c>
      <c r="AJ223" s="573">
        <f t="shared" si="50"/>
        <v>0</v>
      </c>
      <c r="AK223" s="573">
        <f t="shared" si="50"/>
        <v>0</v>
      </c>
      <c r="AL223" s="573">
        <f t="shared" si="50"/>
        <v>0</v>
      </c>
      <c r="AM223" s="573">
        <f t="shared" si="50"/>
        <v>0</v>
      </c>
      <c r="AN223" s="573">
        <f t="shared" si="48"/>
        <v>0</v>
      </c>
      <c r="AO223" s="573">
        <f t="shared" si="47"/>
        <v>0</v>
      </c>
      <c r="AP223" s="573">
        <f t="shared" si="47"/>
        <v>0</v>
      </c>
      <c r="AQ223" s="573">
        <f t="shared" si="47"/>
        <v>0</v>
      </c>
      <c r="AR223" s="573">
        <f t="shared" si="47"/>
        <v>0</v>
      </c>
      <c r="AS223" s="573">
        <f t="shared" si="47"/>
        <v>0</v>
      </c>
      <c r="AT223" s="573">
        <f t="shared" si="47"/>
        <v>0</v>
      </c>
      <c r="AU223" s="573">
        <f t="shared" si="47"/>
        <v>0</v>
      </c>
      <c r="AV223" s="573">
        <f t="shared" si="47"/>
        <v>0</v>
      </c>
      <c r="AW223" s="573">
        <f t="shared" si="47"/>
        <v>0</v>
      </c>
      <c r="AX223" s="565"/>
      <c r="AY223" s="565"/>
      <c r="AZ223" s="565"/>
    </row>
    <row r="224" spans="1:52" ht="11.25" hidden="1" outlineLevel="1" x14ac:dyDescent="0.2">
      <c r="A224" s="557" t="str">
        <f t="shared" si="46"/>
        <v>2</v>
      </c>
      <c r="D224" s="537" t="s">
        <v>822</v>
      </c>
      <c r="L224" s="568" t="s">
        <v>823</v>
      </c>
      <c r="M224" s="578" t="s">
        <v>824</v>
      </c>
      <c r="N224" s="570" t="s">
        <v>106</v>
      </c>
      <c r="O224" s="583"/>
      <c r="P224" s="583"/>
      <c r="Q224" s="583"/>
      <c r="R224" s="573">
        <v>0</v>
      </c>
      <c r="S224" s="583"/>
      <c r="T224" s="583"/>
      <c r="U224" s="583"/>
      <c r="V224" s="583"/>
      <c r="W224" s="583"/>
      <c r="X224" s="583"/>
      <c r="Y224" s="583"/>
      <c r="Z224" s="583"/>
      <c r="AA224" s="583"/>
      <c r="AB224" s="583"/>
      <c r="AC224" s="583"/>
      <c r="AD224" s="583"/>
      <c r="AE224" s="583"/>
      <c r="AF224" s="583"/>
      <c r="AG224" s="583"/>
      <c r="AH224" s="583"/>
      <c r="AI224" s="583"/>
      <c r="AJ224" s="583"/>
      <c r="AK224" s="583"/>
      <c r="AL224" s="583"/>
      <c r="AM224" s="583"/>
      <c r="AN224" s="573">
        <f t="shared" si="48"/>
        <v>0</v>
      </c>
      <c r="AO224" s="573">
        <f t="shared" si="47"/>
        <v>0</v>
      </c>
      <c r="AP224" s="573">
        <f t="shared" si="47"/>
        <v>0</v>
      </c>
      <c r="AQ224" s="573">
        <f t="shared" si="47"/>
        <v>0</v>
      </c>
      <c r="AR224" s="573">
        <f t="shared" si="47"/>
        <v>0</v>
      </c>
      <c r="AS224" s="573">
        <f t="shared" si="47"/>
        <v>0</v>
      </c>
      <c r="AT224" s="573">
        <f t="shared" si="47"/>
        <v>0</v>
      </c>
      <c r="AU224" s="573">
        <f t="shared" si="47"/>
        <v>0</v>
      </c>
      <c r="AV224" s="573">
        <f t="shared" si="47"/>
        <v>0</v>
      </c>
      <c r="AW224" s="573">
        <f t="shared" si="47"/>
        <v>0</v>
      </c>
      <c r="AX224" s="565"/>
      <c r="AY224" s="565"/>
      <c r="AZ224" s="565"/>
    </row>
    <row r="225" spans="1:52" ht="11.25" hidden="1" outlineLevel="1" x14ac:dyDescent="0.2">
      <c r="A225" s="557" t="str">
        <f t="shared" si="46"/>
        <v>2</v>
      </c>
      <c r="D225" s="537" t="s">
        <v>825</v>
      </c>
      <c r="L225" s="568" t="s">
        <v>826</v>
      </c>
      <c r="M225" s="578" t="s">
        <v>827</v>
      </c>
      <c r="N225" s="570" t="s">
        <v>106</v>
      </c>
      <c r="O225" s="583"/>
      <c r="P225" s="583"/>
      <c r="Q225" s="583"/>
      <c r="R225" s="573">
        <v>0</v>
      </c>
      <c r="S225" s="583"/>
      <c r="T225" s="583"/>
      <c r="U225" s="583"/>
      <c r="V225" s="583"/>
      <c r="W225" s="583"/>
      <c r="X225" s="583"/>
      <c r="Y225" s="583"/>
      <c r="Z225" s="583"/>
      <c r="AA225" s="583"/>
      <c r="AB225" s="583"/>
      <c r="AC225" s="583"/>
      <c r="AD225" s="583"/>
      <c r="AE225" s="583"/>
      <c r="AF225" s="583"/>
      <c r="AG225" s="583"/>
      <c r="AH225" s="583"/>
      <c r="AI225" s="583"/>
      <c r="AJ225" s="583"/>
      <c r="AK225" s="583"/>
      <c r="AL225" s="583"/>
      <c r="AM225" s="583"/>
      <c r="AN225" s="573">
        <f t="shared" si="48"/>
        <v>0</v>
      </c>
      <c r="AO225" s="573">
        <f t="shared" ref="AO225:AW236" si="51">IF(AD225=0,0,(AE225-AD225)/AD225*100)</f>
        <v>0</v>
      </c>
      <c r="AP225" s="573">
        <f t="shared" si="51"/>
        <v>0</v>
      </c>
      <c r="AQ225" s="573">
        <f t="shared" si="51"/>
        <v>0</v>
      </c>
      <c r="AR225" s="573">
        <f t="shared" si="51"/>
        <v>0</v>
      </c>
      <c r="AS225" s="573">
        <f t="shared" si="51"/>
        <v>0</v>
      </c>
      <c r="AT225" s="573">
        <f t="shared" si="51"/>
        <v>0</v>
      </c>
      <c r="AU225" s="573">
        <f t="shared" si="51"/>
        <v>0</v>
      </c>
      <c r="AV225" s="573">
        <f t="shared" si="51"/>
        <v>0</v>
      </c>
      <c r="AW225" s="573">
        <f t="shared" si="51"/>
        <v>0</v>
      </c>
      <c r="AX225" s="565"/>
      <c r="AY225" s="565"/>
      <c r="AZ225" s="565"/>
    </row>
    <row r="226" spans="1:52" ht="22.5" hidden="1" outlineLevel="1" x14ac:dyDescent="0.2">
      <c r="A226" s="557" t="str">
        <f t="shared" si="46"/>
        <v>2</v>
      </c>
      <c r="B226" s="537" t="s">
        <v>828</v>
      </c>
      <c r="D226" s="537" t="s">
        <v>829</v>
      </c>
      <c r="L226" s="568" t="s">
        <v>830</v>
      </c>
      <c r="M226" s="569" t="s">
        <v>831</v>
      </c>
      <c r="N226" s="570" t="s">
        <v>106</v>
      </c>
      <c r="O226" s="583"/>
      <c r="P226" s="583"/>
      <c r="Q226" s="583"/>
      <c r="R226" s="573">
        <v>0</v>
      </c>
      <c r="S226" s="583"/>
      <c r="T226" s="583"/>
      <c r="U226" s="583"/>
      <c r="V226" s="583"/>
      <c r="W226" s="583"/>
      <c r="X226" s="583"/>
      <c r="Y226" s="583"/>
      <c r="Z226" s="583"/>
      <c r="AA226" s="583"/>
      <c r="AB226" s="583"/>
      <c r="AC226" s="583"/>
      <c r="AD226" s="583"/>
      <c r="AE226" s="583"/>
      <c r="AF226" s="583"/>
      <c r="AG226" s="583"/>
      <c r="AH226" s="583"/>
      <c r="AI226" s="583"/>
      <c r="AJ226" s="583"/>
      <c r="AK226" s="583"/>
      <c r="AL226" s="583"/>
      <c r="AM226" s="583"/>
      <c r="AN226" s="573">
        <f t="shared" si="48"/>
        <v>0</v>
      </c>
      <c r="AO226" s="573">
        <f t="shared" si="51"/>
        <v>0</v>
      </c>
      <c r="AP226" s="573">
        <f t="shared" si="51"/>
        <v>0</v>
      </c>
      <c r="AQ226" s="573">
        <f t="shared" si="51"/>
        <v>0</v>
      </c>
      <c r="AR226" s="573">
        <f t="shared" si="51"/>
        <v>0</v>
      </c>
      <c r="AS226" s="573">
        <f t="shared" si="51"/>
        <v>0</v>
      </c>
      <c r="AT226" s="573">
        <f t="shared" si="51"/>
        <v>0</v>
      </c>
      <c r="AU226" s="573">
        <f t="shared" si="51"/>
        <v>0</v>
      </c>
      <c r="AV226" s="573">
        <f t="shared" si="51"/>
        <v>0</v>
      </c>
      <c r="AW226" s="573">
        <f t="shared" si="51"/>
        <v>0</v>
      </c>
      <c r="AX226" s="565"/>
      <c r="AY226" s="565"/>
      <c r="AZ226" s="565"/>
    </row>
    <row r="227" spans="1:52" s="590" customFormat="1" ht="11.25" outlineLevel="1" x14ac:dyDescent="0.2">
      <c r="A227" s="557" t="str">
        <f t="shared" si="46"/>
        <v>2</v>
      </c>
      <c r="B227" s="537" t="s">
        <v>832</v>
      </c>
      <c r="C227" s="537"/>
      <c r="D227" s="537" t="s">
        <v>833</v>
      </c>
      <c r="L227" s="591" t="s">
        <v>120</v>
      </c>
      <c r="M227" s="561" t="s">
        <v>834</v>
      </c>
      <c r="N227" s="593" t="s">
        <v>106</v>
      </c>
      <c r="O227" s="563">
        <v>0</v>
      </c>
      <c r="P227" s="563">
        <v>0</v>
      </c>
      <c r="Q227" s="563">
        <v>0</v>
      </c>
      <c r="R227" s="563">
        <v>0</v>
      </c>
      <c r="S227" s="563">
        <v>0</v>
      </c>
      <c r="T227" s="563">
        <v>0</v>
      </c>
      <c r="U227" s="563">
        <v>0</v>
      </c>
      <c r="V227" s="563">
        <v>0</v>
      </c>
      <c r="W227" s="563">
        <v>0</v>
      </c>
      <c r="X227" s="563">
        <v>0</v>
      </c>
      <c r="Y227" s="563">
        <v>0</v>
      </c>
      <c r="Z227" s="563">
        <v>0</v>
      </c>
      <c r="AA227" s="563">
        <v>0</v>
      </c>
      <c r="AB227" s="563">
        <v>0</v>
      </c>
      <c r="AC227" s="563">
        <v>0</v>
      </c>
      <c r="AD227" s="563">
        <v>0</v>
      </c>
      <c r="AE227" s="563">
        <v>0</v>
      </c>
      <c r="AF227" s="563">
        <v>0</v>
      </c>
      <c r="AG227" s="563">
        <v>0</v>
      </c>
      <c r="AH227" s="563">
        <v>0</v>
      </c>
      <c r="AI227" s="563" t="e">
        <f>SUMIFS([12]ЭЭ!AH$15:AH$42,[12]ЭЭ!$A$15:$A$42,$A227,[12]ЭЭ!$M$15:$M$42,"Всего по тарифу")</f>
        <v>#VALUE!</v>
      </c>
      <c r="AJ227" s="563" t="e">
        <f>SUMIFS([12]ЭЭ!AI$15:AI$42,[12]ЭЭ!$A$15:$A$42,$A227,[12]ЭЭ!$M$15:$M$42,"Всего по тарифу")</f>
        <v>#VALUE!</v>
      </c>
      <c r="AK227" s="563" t="e">
        <f>SUMIFS([12]ЭЭ!AJ$15:AJ$42,[12]ЭЭ!$A$15:$A$42,$A227,[12]ЭЭ!$M$15:$M$42,"Всего по тарифу")</f>
        <v>#VALUE!</v>
      </c>
      <c r="AL227" s="563" t="e">
        <f>SUMIFS([12]ЭЭ!AK$15:AK$42,[12]ЭЭ!$A$15:$A$42,$A227,[12]ЭЭ!$M$15:$M$42,"Всего по тарифу")</f>
        <v>#VALUE!</v>
      </c>
      <c r="AM227" s="563" t="e">
        <f>SUMIFS([12]ЭЭ!AL$15:AL$42,[12]ЭЭ!$A$15:$A$42,$A227,[12]ЭЭ!$M$15:$M$42,"Всего по тарифу")</f>
        <v>#VALUE!</v>
      </c>
      <c r="AN227" s="563">
        <f>IF(S227=0,0,(AD227-S227)/S227*100)</f>
        <v>0</v>
      </c>
      <c r="AO227" s="563">
        <f t="shared" si="51"/>
        <v>0</v>
      </c>
      <c r="AP227" s="563">
        <f t="shared" si="51"/>
        <v>0</v>
      </c>
      <c r="AQ227" s="563">
        <f t="shared" si="51"/>
        <v>0</v>
      </c>
      <c r="AR227" s="563">
        <f t="shared" si="51"/>
        <v>0</v>
      </c>
      <c r="AS227" s="563">
        <f t="shared" si="51"/>
        <v>0</v>
      </c>
      <c r="AT227" s="563" t="e">
        <f t="shared" si="51"/>
        <v>#VALUE!</v>
      </c>
      <c r="AU227" s="563" t="e">
        <f t="shared" si="51"/>
        <v>#VALUE!</v>
      </c>
      <c r="AV227" s="563" t="e">
        <f t="shared" si="51"/>
        <v>#VALUE!</v>
      </c>
      <c r="AW227" s="563" t="e">
        <f t="shared" si="51"/>
        <v>#VALUE!</v>
      </c>
      <c r="AX227" s="565"/>
      <c r="AY227" s="565"/>
      <c r="AZ227" s="565"/>
    </row>
    <row r="228" spans="1:52" s="590" customFormat="1" ht="22.5" outlineLevel="1" x14ac:dyDescent="0.2">
      <c r="A228" s="557" t="str">
        <f t="shared" si="46"/>
        <v>2</v>
      </c>
      <c r="B228" s="537" t="s">
        <v>835</v>
      </c>
      <c r="C228" s="537"/>
      <c r="D228" s="537" t="s">
        <v>836</v>
      </c>
      <c r="L228" s="591" t="s">
        <v>455</v>
      </c>
      <c r="M228" s="561" t="s">
        <v>837</v>
      </c>
      <c r="N228" s="593" t="s">
        <v>106</v>
      </c>
      <c r="O228" s="563">
        <v>0</v>
      </c>
      <c r="P228" s="563">
        <v>0</v>
      </c>
      <c r="Q228" s="563">
        <v>0</v>
      </c>
      <c r="R228" s="563">
        <v>0</v>
      </c>
      <c r="S228" s="563">
        <v>0</v>
      </c>
      <c r="T228" s="563">
        <v>0</v>
      </c>
      <c r="U228" s="563">
        <v>0</v>
      </c>
      <c r="V228" s="563">
        <v>0</v>
      </c>
      <c r="W228" s="563">
        <v>0</v>
      </c>
      <c r="X228" s="563">
        <v>0</v>
      </c>
      <c r="Y228" s="563">
        <v>0</v>
      </c>
      <c r="Z228" s="563">
        <v>0</v>
      </c>
      <c r="AA228" s="563">
        <v>0</v>
      </c>
      <c r="AB228" s="563">
        <v>0</v>
      </c>
      <c r="AC228" s="563">
        <v>0</v>
      </c>
      <c r="AD228" s="563">
        <v>0</v>
      </c>
      <c r="AE228" s="563">
        <v>0</v>
      </c>
      <c r="AF228" s="563">
        <v>0</v>
      </c>
      <c r="AG228" s="563">
        <v>0</v>
      </c>
      <c r="AH228" s="563">
        <v>0</v>
      </c>
      <c r="AI228" s="563">
        <f>SUMIFS([12]Амортизация!AH$15:AH$114,[12]Амортизация!$A$15:$A$114,$A228,[12]Амортизация!$M$15:$M$114,"Сумма амортизационных отчислений")</f>
        <v>0</v>
      </c>
      <c r="AJ228" s="563">
        <f>SUMIFS([12]Амортизация!AI$15:AI$114,[12]Амортизация!$A$15:$A$114,$A228,[12]Амортизация!$M$15:$M$114,"Сумма амортизационных отчислений")</f>
        <v>0</v>
      </c>
      <c r="AK228" s="563">
        <f>SUMIFS([12]Амортизация!AJ$15:AJ$114,[12]Амортизация!$A$15:$A$114,$A228,[12]Амортизация!$M$15:$M$114,"Сумма амортизационных отчислений")</f>
        <v>0</v>
      </c>
      <c r="AL228" s="563">
        <f>SUMIFS([12]Амортизация!AK$15:AK$114,[12]Амортизация!$A$15:$A$114,$A228,[12]Амортизация!$M$15:$M$114,"Сумма амортизационных отчислений")</f>
        <v>0</v>
      </c>
      <c r="AM228" s="563">
        <f>SUMIFS([12]Амортизация!AL$15:AL$114,[12]Амортизация!$A$15:$A$114,$A228,[12]Амортизация!$M$15:$M$114,"Сумма амортизационных отчислений")</f>
        <v>0</v>
      </c>
      <c r="AN228" s="563">
        <f t="shared" si="48"/>
        <v>0</v>
      </c>
      <c r="AO228" s="563">
        <f t="shared" si="51"/>
        <v>0</v>
      </c>
      <c r="AP228" s="563">
        <f t="shared" si="51"/>
        <v>0</v>
      </c>
      <c r="AQ228" s="563">
        <f t="shared" si="51"/>
        <v>0</v>
      </c>
      <c r="AR228" s="563">
        <f t="shared" si="51"/>
        <v>0</v>
      </c>
      <c r="AS228" s="563">
        <f t="shared" si="51"/>
        <v>0</v>
      </c>
      <c r="AT228" s="563">
        <f t="shared" si="51"/>
        <v>0</v>
      </c>
      <c r="AU228" s="563">
        <f t="shared" si="51"/>
        <v>0</v>
      </c>
      <c r="AV228" s="563">
        <f t="shared" si="51"/>
        <v>0</v>
      </c>
      <c r="AW228" s="563">
        <f t="shared" si="51"/>
        <v>0</v>
      </c>
      <c r="AX228" s="565"/>
      <c r="AY228" s="565"/>
      <c r="AZ228" s="565"/>
    </row>
    <row r="229" spans="1:52" ht="11.25" outlineLevel="1" x14ac:dyDescent="0.2">
      <c r="A229" s="557" t="str">
        <f t="shared" si="46"/>
        <v>2</v>
      </c>
      <c r="D229" s="537" t="s">
        <v>838</v>
      </c>
      <c r="L229" s="568" t="s">
        <v>192</v>
      </c>
      <c r="M229" s="607" t="s">
        <v>839</v>
      </c>
      <c r="N229" s="570" t="s">
        <v>106</v>
      </c>
      <c r="O229" s="583">
        <v>0</v>
      </c>
      <c r="P229" s="583">
        <v>0</v>
      </c>
      <c r="Q229" s="583">
        <v>0</v>
      </c>
      <c r="R229" s="573">
        <v>0</v>
      </c>
      <c r="S229" s="583">
        <v>0</v>
      </c>
      <c r="T229" s="583">
        <v>0</v>
      </c>
      <c r="U229" s="583">
        <v>0</v>
      </c>
      <c r="V229" s="583">
        <v>0</v>
      </c>
      <c r="W229" s="583">
        <v>0</v>
      </c>
      <c r="X229" s="583">
        <v>0</v>
      </c>
      <c r="Y229" s="583">
        <v>0</v>
      </c>
      <c r="Z229" s="583">
        <v>0</v>
      </c>
      <c r="AA229" s="583">
        <v>0</v>
      </c>
      <c r="AB229" s="583">
        <v>0</v>
      </c>
      <c r="AC229" s="583">
        <v>0</v>
      </c>
      <c r="AD229" s="583">
        <v>0</v>
      </c>
      <c r="AE229" s="583">
        <v>0</v>
      </c>
      <c r="AF229" s="583">
        <v>0</v>
      </c>
      <c r="AG229" s="583">
        <v>0</v>
      </c>
      <c r="AH229" s="583">
        <v>0</v>
      </c>
      <c r="AI229" s="583">
        <f>SUMIFS('[12]ИП + источники'!AJ$17:AJ$89,'[12]ИП + источники'!$A$17:$A$89,$A229,'[12]ИП + источники'!$M$17:$M$89,"Амортизационные отчисления")+SUMIFS('[12]ИП + источники'!AJ$17:AJ$89,'[12]ИП + источники'!$A$17:$A$89,$A229,'[12]ИП + источники'!$M$17:$M$89,"погашение займов и кредитов из амортизации")</f>
        <v>0</v>
      </c>
      <c r="AJ229" s="583">
        <f>SUMIFS('[12]ИП + источники'!AK$17:AK$89,'[12]ИП + источники'!$A$17:$A$89,$A229,'[12]ИП + источники'!$M$17:$M$89,"Амортизационные отчисления")+SUMIFS('[12]ИП + источники'!AK$17:AK$89,'[12]ИП + источники'!$A$17:$A$89,$A229,'[12]ИП + источники'!$M$17:$M$89,"погашение займов и кредитов из амортизации")</f>
        <v>0</v>
      </c>
      <c r="AK229" s="583">
        <f>SUMIFS('[12]ИП + источники'!AL$17:AL$89,'[12]ИП + источники'!$A$17:$A$89,$A229,'[12]ИП + источники'!$M$17:$M$89,"Амортизационные отчисления")+SUMIFS('[12]ИП + источники'!AL$17:AL$89,'[12]ИП + источники'!$A$17:$A$89,$A229,'[12]ИП + источники'!$M$17:$M$89,"погашение займов и кредитов из амортизации")</f>
        <v>0</v>
      </c>
      <c r="AL229" s="583">
        <f>SUMIFS('[12]ИП + источники'!AM$17:AM$89,'[12]ИП + источники'!$A$17:$A$89,$A229,'[12]ИП + источники'!$M$17:$M$89,"Амортизационные отчисления")+SUMIFS('[12]ИП + источники'!AM$17:AM$89,'[12]ИП + источники'!$A$17:$A$89,$A229,'[12]ИП + источники'!$M$17:$M$89,"погашение займов и кредитов из амортизации")</f>
        <v>0</v>
      </c>
      <c r="AM229" s="583">
        <f>SUMIFS('[12]ИП + источники'!AN$17:AN$89,'[12]ИП + источники'!$A$17:$A$89,$A229,'[12]ИП + источники'!$M$17:$M$89,"Амортизационные отчисления")+SUMIFS('[12]ИП + источники'!AN$17:AN$89,'[12]ИП + источники'!$A$17:$A$89,$A229,'[12]ИП + источники'!$M$17:$M$89,"погашение займов и кредитов из амортизации")</f>
        <v>0</v>
      </c>
      <c r="AN229" s="573">
        <f t="shared" si="48"/>
        <v>0</v>
      </c>
      <c r="AO229" s="573">
        <f t="shared" si="51"/>
        <v>0</v>
      </c>
      <c r="AP229" s="573">
        <f t="shared" si="51"/>
        <v>0</v>
      </c>
      <c r="AQ229" s="573">
        <f t="shared" si="51"/>
        <v>0</v>
      </c>
      <c r="AR229" s="573">
        <f t="shared" si="51"/>
        <v>0</v>
      </c>
      <c r="AS229" s="573">
        <f t="shared" si="51"/>
        <v>0</v>
      </c>
      <c r="AT229" s="573">
        <f t="shared" si="51"/>
        <v>0</v>
      </c>
      <c r="AU229" s="573">
        <f t="shared" si="51"/>
        <v>0</v>
      </c>
      <c r="AV229" s="573">
        <f t="shared" si="51"/>
        <v>0</v>
      </c>
      <c r="AW229" s="573">
        <f t="shared" si="51"/>
        <v>0</v>
      </c>
      <c r="AX229" s="565"/>
      <c r="AY229" s="565"/>
      <c r="AZ229" s="565"/>
    </row>
    <row r="230" spans="1:52" s="590" customFormat="1" ht="11.25" outlineLevel="1" x14ac:dyDescent="0.2">
      <c r="A230" s="557" t="str">
        <f t="shared" si="46"/>
        <v>2</v>
      </c>
      <c r="B230" s="537" t="s">
        <v>194</v>
      </c>
      <c r="C230" s="537"/>
      <c r="D230" s="537" t="s">
        <v>840</v>
      </c>
      <c r="L230" s="591" t="s">
        <v>456</v>
      </c>
      <c r="M230" s="608" t="s">
        <v>194</v>
      </c>
      <c r="N230" s="562" t="s">
        <v>106</v>
      </c>
      <c r="O230" s="594">
        <v>0</v>
      </c>
      <c r="P230" s="594">
        <v>0</v>
      </c>
      <c r="Q230" s="594">
        <v>0</v>
      </c>
      <c r="R230" s="594">
        <v>0</v>
      </c>
      <c r="S230" s="594">
        <v>0</v>
      </c>
      <c r="T230" s="594">
        <v>0</v>
      </c>
      <c r="U230" s="594">
        <v>0</v>
      </c>
      <c r="V230" s="594">
        <v>0</v>
      </c>
      <c r="W230" s="594">
        <v>0</v>
      </c>
      <c r="X230" s="594">
        <v>0</v>
      </c>
      <c r="Y230" s="594">
        <v>0</v>
      </c>
      <c r="Z230" s="594">
        <v>0</v>
      </c>
      <c r="AA230" s="594">
        <v>0</v>
      </c>
      <c r="AB230" s="594">
        <v>0</v>
      </c>
      <c r="AC230" s="594">
        <v>0</v>
      </c>
      <c r="AD230" s="594">
        <v>0</v>
      </c>
      <c r="AE230" s="594">
        <v>0</v>
      </c>
      <c r="AF230" s="594">
        <v>0</v>
      </c>
      <c r="AG230" s="594">
        <v>0</v>
      </c>
      <c r="AH230" s="594">
        <v>0</v>
      </c>
      <c r="AI230" s="594">
        <f t="shared" ref="AI230:AM230" si="52">AI231+AI232+AI233+AI234</f>
        <v>0</v>
      </c>
      <c r="AJ230" s="594">
        <f t="shared" si="52"/>
        <v>0</v>
      </c>
      <c r="AK230" s="594">
        <f t="shared" si="52"/>
        <v>0</v>
      </c>
      <c r="AL230" s="594">
        <f t="shared" si="52"/>
        <v>0</v>
      </c>
      <c r="AM230" s="594">
        <f t="shared" si="52"/>
        <v>0</v>
      </c>
      <c r="AN230" s="563">
        <f t="shared" si="48"/>
        <v>0</v>
      </c>
      <c r="AO230" s="563">
        <f t="shared" si="51"/>
        <v>0</v>
      </c>
      <c r="AP230" s="563">
        <f t="shared" si="51"/>
        <v>0</v>
      </c>
      <c r="AQ230" s="563">
        <f t="shared" si="51"/>
        <v>0</v>
      </c>
      <c r="AR230" s="563">
        <f t="shared" si="51"/>
        <v>0</v>
      </c>
      <c r="AS230" s="563">
        <f t="shared" si="51"/>
        <v>0</v>
      </c>
      <c r="AT230" s="563">
        <f t="shared" si="51"/>
        <v>0</v>
      </c>
      <c r="AU230" s="563">
        <f t="shared" si="51"/>
        <v>0</v>
      </c>
      <c r="AV230" s="563">
        <f t="shared" si="51"/>
        <v>0</v>
      </c>
      <c r="AW230" s="563">
        <f t="shared" si="51"/>
        <v>0</v>
      </c>
      <c r="AX230" s="565"/>
      <c r="AY230" s="565"/>
      <c r="AZ230" s="565"/>
    </row>
    <row r="231" spans="1:52" ht="11.25" hidden="1" outlineLevel="1" x14ac:dyDescent="0.2">
      <c r="A231" s="557" t="str">
        <f t="shared" si="46"/>
        <v>2</v>
      </c>
      <c r="D231" s="537" t="s">
        <v>841</v>
      </c>
      <c r="L231" s="568" t="s">
        <v>195</v>
      </c>
      <c r="M231" s="569" t="s">
        <v>842</v>
      </c>
      <c r="N231" s="570" t="s">
        <v>106</v>
      </c>
      <c r="O231" s="609">
        <v>0</v>
      </c>
      <c r="P231" s="609">
        <v>0</v>
      </c>
      <c r="Q231" s="609">
        <v>0</v>
      </c>
      <c r="R231" s="573">
        <v>0</v>
      </c>
      <c r="S231" s="609">
        <v>0</v>
      </c>
      <c r="T231" s="609">
        <v>0</v>
      </c>
      <c r="U231" s="609">
        <v>0</v>
      </c>
      <c r="V231" s="609">
        <v>0</v>
      </c>
      <c r="W231" s="609">
        <v>0</v>
      </c>
      <c r="X231" s="609">
        <v>0</v>
      </c>
      <c r="Y231" s="609">
        <v>0</v>
      </c>
      <c r="Z231" s="609">
        <v>0</v>
      </c>
      <c r="AA231" s="609">
        <v>0</v>
      </c>
      <c r="AB231" s="609">
        <v>0</v>
      </c>
      <c r="AC231" s="609">
        <v>0</v>
      </c>
      <c r="AD231" s="609">
        <v>0</v>
      </c>
      <c r="AE231" s="609">
        <v>0</v>
      </c>
      <c r="AF231" s="609">
        <v>0</v>
      </c>
      <c r="AG231" s="609">
        <v>0</v>
      </c>
      <c r="AH231" s="609">
        <v>0</v>
      </c>
      <c r="AI231" s="609">
        <f>SUMIFS('[12]ИП + источники'!AJ$15:AJ$89,'[12]ИП + источники'!$A$15:$A$89,$A231,'[12]ИП + источники'!$M$15:$M$89,"погашение займов и кредитов из нормативной прибыли")</f>
        <v>0</v>
      </c>
      <c r="AJ231" s="609">
        <f>SUMIFS('[12]ИП + источники'!AK$15:AK$89,'[12]ИП + источники'!$A$15:$A$89,$A231,'[12]ИП + источники'!$M$15:$M$89,"погашение займов и кредитов из нормативной прибыли")</f>
        <v>0</v>
      </c>
      <c r="AK231" s="609">
        <f>SUMIFS('[12]ИП + источники'!AL$15:AL$89,'[12]ИП + источники'!$A$15:$A$89,$A231,'[12]ИП + источники'!$M$15:$M$89,"погашение займов и кредитов из нормативной прибыли")</f>
        <v>0</v>
      </c>
      <c r="AL231" s="609">
        <f>SUMIFS('[12]ИП + источники'!AM$15:AM$89,'[12]ИП + источники'!$A$15:$A$89,$A231,'[12]ИП + источники'!$M$15:$M$89,"погашение займов и кредитов из нормативной прибыли")</f>
        <v>0</v>
      </c>
      <c r="AM231" s="609">
        <f>SUMIFS('[12]ИП + источники'!AN$15:AN$89,'[12]ИП + источники'!$A$15:$A$89,$A231,'[12]ИП + источники'!$M$15:$M$89,"погашение займов и кредитов из нормативной прибыли")</f>
        <v>0</v>
      </c>
      <c r="AN231" s="573">
        <f t="shared" si="48"/>
        <v>0</v>
      </c>
      <c r="AO231" s="573">
        <f t="shared" si="51"/>
        <v>0</v>
      </c>
      <c r="AP231" s="573">
        <f t="shared" si="51"/>
        <v>0</v>
      </c>
      <c r="AQ231" s="573">
        <f t="shared" si="51"/>
        <v>0</v>
      </c>
      <c r="AR231" s="573">
        <f t="shared" si="51"/>
        <v>0</v>
      </c>
      <c r="AS231" s="573">
        <f t="shared" si="51"/>
        <v>0</v>
      </c>
      <c r="AT231" s="573">
        <f t="shared" si="51"/>
        <v>0</v>
      </c>
      <c r="AU231" s="573">
        <f t="shared" si="51"/>
        <v>0</v>
      </c>
      <c r="AV231" s="573">
        <f t="shared" si="51"/>
        <v>0</v>
      </c>
      <c r="AW231" s="573">
        <f t="shared" si="51"/>
        <v>0</v>
      </c>
      <c r="AX231" s="565"/>
      <c r="AY231" s="565"/>
      <c r="AZ231" s="565"/>
    </row>
    <row r="232" spans="1:52" ht="11.25" hidden="1" outlineLevel="1" x14ac:dyDescent="0.2">
      <c r="A232" s="557" t="str">
        <f t="shared" si="46"/>
        <v>2</v>
      </c>
      <c r="D232" s="537" t="s">
        <v>843</v>
      </c>
      <c r="L232" s="568" t="s">
        <v>197</v>
      </c>
      <c r="M232" s="569" t="s">
        <v>844</v>
      </c>
      <c r="N232" s="570" t="s">
        <v>106</v>
      </c>
      <c r="O232" s="609">
        <v>0</v>
      </c>
      <c r="P232" s="609">
        <v>0</v>
      </c>
      <c r="Q232" s="609">
        <v>0</v>
      </c>
      <c r="R232" s="573">
        <v>0</v>
      </c>
      <c r="S232" s="609">
        <v>0</v>
      </c>
      <c r="T232" s="609">
        <v>0</v>
      </c>
      <c r="U232" s="609">
        <v>0</v>
      </c>
      <c r="V232" s="609">
        <v>0</v>
      </c>
      <c r="W232" s="609">
        <v>0</v>
      </c>
      <c r="X232" s="609">
        <v>0</v>
      </c>
      <c r="Y232" s="609">
        <v>0</v>
      </c>
      <c r="Z232" s="609">
        <v>0</v>
      </c>
      <c r="AA232" s="609">
        <v>0</v>
      </c>
      <c r="AB232" s="609">
        <v>0</v>
      </c>
      <c r="AC232" s="609">
        <v>0</v>
      </c>
      <c r="AD232" s="609">
        <v>0</v>
      </c>
      <c r="AE232" s="609">
        <v>0</v>
      </c>
      <c r="AF232" s="609">
        <v>0</v>
      </c>
      <c r="AG232" s="609">
        <v>0</v>
      </c>
      <c r="AH232" s="609">
        <v>0</v>
      </c>
      <c r="AI232" s="609">
        <f>SUMIFS('[12]ИП + источники'!AJ$15:AJ$89,'[12]ИП + источники'!$A$15:$A$89,$A232,'[12]ИП + источники'!$M$15:$M$89,"уплата процентов по кредитам из нормативной прибыли")</f>
        <v>0</v>
      </c>
      <c r="AJ232" s="609">
        <f>SUMIFS('[12]ИП + источники'!AK$15:AK$89,'[12]ИП + источники'!$A$15:$A$89,$A232,'[12]ИП + источники'!$M$15:$M$89,"уплата процентов по кредитам из нормативной прибыли")</f>
        <v>0</v>
      </c>
      <c r="AK232" s="609">
        <f>SUMIFS('[12]ИП + источники'!AL$15:AL$89,'[12]ИП + источники'!$A$15:$A$89,$A232,'[12]ИП + источники'!$M$15:$M$89,"уплата процентов по кредитам из нормативной прибыли")</f>
        <v>0</v>
      </c>
      <c r="AL232" s="609">
        <f>SUMIFS('[12]ИП + источники'!AM$15:AM$89,'[12]ИП + источники'!$A$15:$A$89,$A232,'[12]ИП + источники'!$M$15:$M$89,"уплата процентов по кредитам из нормативной прибыли")</f>
        <v>0</v>
      </c>
      <c r="AM232" s="609">
        <f>SUMIFS('[12]ИП + источники'!AN$15:AN$89,'[12]ИП + источники'!$A$15:$A$89,$A232,'[12]ИП + источники'!$M$15:$M$89,"уплата процентов по кредитам из нормативной прибыли")</f>
        <v>0</v>
      </c>
      <c r="AN232" s="573">
        <f t="shared" si="48"/>
        <v>0</v>
      </c>
      <c r="AO232" s="573">
        <f t="shared" si="51"/>
        <v>0</v>
      </c>
      <c r="AP232" s="573">
        <f t="shared" si="51"/>
        <v>0</v>
      </c>
      <c r="AQ232" s="573">
        <f t="shared" si="51"/>
        <v>0</v>
      </c>
      <c r="AR232" s="573">
        <f t="shared" si="51"/>
        <v>0</v>
      </c>
      <c r="AS232" s="573">
        <f t="shared" si="51"/>
        <v>0</v>
      </c>
      <c r="AT232" s="573">
        <f t="shared" si="51"/>
        <v>0</v>
      </c>
      <c r="AU232" s="573">
        <f t="shared" si="51"/>
        <v>0</v>
      </c>
      <c r="AV232" s="573">
        <f t="shared" si="51"/>
        <v>0</v>
      </c>
      <c r="AW232" s="573">
        <f t="shared" si="51"/>
        <v>0</v>
      </c>
      <c r="AX232" s="565"/>
      <c r="AY232" s="565"/>
      <c r="AZ232" s="565"/>
    </row>
    <row r="233" spans="1:52" ht="11.25" hidden="1" outlineLevel="1" x14ac:dyDescent="0.2">
      <c r="A233" s="557" t="str">
        <f t="shared" si="46"/>
        <v>2</v>
      </c>
      <c r="D233" s="537" t="s">
        <v>845</v>
      </c>
      <c r="L233" s="568" t="s">
        <v>846</v>
      </c>
      <c r="M233" s="569" t="s">
        <v>847</v>
      </c>
      <c r="N233" s="570" t="s">
        <v>106</v>
      </c>
      <c r="O233" s="609">
        <v>0</v>
      </c>
      <c r="P233" s="609">
        <v>0</v>
      </c>
      <c r="Q233" s="609">
        <v>0</v>
      </c>
      <c r="R233" s="573">
        <v>0</v>
      </c>
      <c r="S233" s="609">
        <v>0</v>
      </c>
      <c r="T233" s="609">
        <v>0</v>
      </c>
      <c r="U233" s="609">
        <v>0</v>
      </c>
      <c r="V233" s="609">
        <v>0</v>
      </c>
      <c r="W233" s="609">
        <v>0</v>
      </c>
      <c r="X233" s="609">
        <v>0</v>
      </c>
      <c r="Y233" s="609">
        <v>0</v>
      </c>
      <c r="Z233" s="609">
        <v>0</v>
      </c>
      <c r="AA233" s="609">
        <v>0</v>
      </c>
      <c r="AB233" s="609">
        <v>0</v>
      </c>
      <c r="AC233" s="609">
        <v>0</v>
      </c>
      <c r="AD233" s="609">
        <v>0</v>
      </c>
      <c r="AE233" s="609">
        <v>0</v>
      </c>
      <c r="AF233" s="609">
        <v>0</v>
      </c>
      <c r="AG233" s="609">
        <v>0</v>
      </c>
      <c r="AH233" s="609">
        <v>0</v>
      </c>
      <c r="AI233" s="609">
        <f>SUMIFS('[12]ИП + источники'!AJ$15:AJ$89,'[12]ИП + источники'!$A$15:$A$89,$A233,'[12]ИП + источники'!$M$15:$M$89,"Прибыль на капвложения")</f>
        <v>0</v>
      </c>
      <c r="AJ233" s="609">
        <f>SUMIFS('[12]ИП + источники'!AK$15:AK$89,'[12]ИП + источники'!$A$15:$A$89,$A233,'[12]ИП + источники'!$M$15:$M$89,"Прибыль на капвложения")</f>
        <v>0</v>
      </c>
      <c r="AK233" s="609">
        <f>SUMIFS('[12]ИП + источники'!AL$15:AL$89,'[12]ИП + источники'!$A$15:$A$89,$A233,'[12]ИП + источники'!$M$15:$M$89,"Прибыль на капвложения")</f>
        <v>0</v>
      </c>
      <c r="AL233" s="609">
        <f>SUMIFS('[12]ИП + источники'!AM$15:AM$89,'[12]ИП + источники'!$A$15:$A$89,$A233,'[12]ИП + источники'!$M$15:$M$89,"Прибыль на капвложения")</f>
        <v>0</v>
      </c>
      <c r="AM233" s="609">
        <f>SUMIFS('[12]ИП + источники'!AN$15:AN$89,'[12]ИП + источники'!$A$15:$A$89,$A233,'[12]ИП + источники'!$M$15:$M$89,"Прибыль на капвложения")</f>
        <v>0</v>
      </c>
      <c r="AN233" s="573">
        <f t="shared" si="48"/>
        <v>0</v>
      </c>
      <c r="AO233" s="573">
        <f t="shared" si="51"/>
        <v>0</v>
      </c>
      <c r="AP233" s="573">
        <f t="shared" si="51"/>
        <v>0</v>
      </c>
      <c r="AQ233" s="573">
        <f t="shared" si="51"/>
        <v>0</v>
      </c>
      <c r="AR233" s="573">
        <f t="shared" si="51"/>
        <v>0</v>
      </c>
      <c r="AS233" s="573">
        <f t="shared" si="51"/>
        <v>0</v>
      </c>
      <c r="AT233" s="573">
        <f t="shared" si="51"/>
        <v>0</v>
      </c>
      <c r="AU233" s="573">
        <f t="shared" si="51"/>
        <v>0</v>
      </c>
      <c r="AV233" s="573">
        <f t="shared" si="51"/>
        <v>0</v>
      </c>
      <c r="AW233" s="573">
        <f t="shared" si="51"/>
        <v>0</v>
      </c>
      <c r="AX233" s="565"/>
      <c r="AY233" s="565"/>
      <c r="AZ233" s="565"/>
    </row>
    <row r="234" spans="1:52" ht="22.5" hidden="1" outlineLevel="1" x14ac:dyDescent="0.2">
      <c r="A234" s="557" t="str">
        <f t="shared" si="46"/>
        <v>2</v>
      </c>
      <c r="B234" s="537" t="s">
        <v>848</v>
      </c>
      <c r="D234" s="537" t="s">
        <v>849</v>
      </c>
      <c r="L234" s="568" t="s">
        <v>850</v>
      </c>
      <c r="M234" s="569" t="s">
        <v>851</v>
      </c>
      <c r="N234" s="570" t="s">
        <v>106</v>
      </c>
      <c r="O234" s="583"/>
      <c r="P234" s="583"/>
      <c r="Q234" s="583"/>
      <c r="R234" s="573">
        <v>0</v>
      </c>
      <c r="S234" s="583"/>
      <c r="T234" s="583"/>
      <c r="U234" s="583"/>
      <c r="V234" s="583"/>
      <c r="W234" s="583"/>
      <c r="X234" s="583"/>
      <c r="Y234" s="583"/>
      <c r="Z234" s="583"/>
      <c r="AA234" s="583"/>
      <c r="AB234" s="583"/>
      <c r="AC234" s="583"/>
      <c r="AD234" s="583"/>
      <c r="AE234" s="583"/>
      <c r="AF234" s="583"/>
      <c r="AG234" s="583"/>
      <c r="AH234" s="583"/>
      <c r="AI234" s="583"/>
      <c r="AJ234" s="583"/>
      <c r="AK234" s="583"/>
      <c r="AL234" s="583"/>
      <c r="AM234" s="583"/>
      <c r="AN234" s="573">
        <f t="shared" si="48"/>
        <v>0</v>
      </c>
      <c r="AO234" s="573">
        <f t="shared" si="51"/>
        <v>0</v>
      </c>
      <c r="AP234" s="573">
        <f t="shared" si="51"/>
        <v>0</v>
      </c>
      <c r="AQ234" s="573">
        <f t="shared" si="51"/>
        <v>0</v>
      </c>
      <c r="AR234" s="573">
        <f t="shared" si="51"/>
        <v>0</v>
      </c>
      <c r="AS234" s="573">
        <f t="shared" si="51"/>
        <v>0</v>
      </c>
      <c r="AT234" s="573">
        <f t="shared" si="51"/>
        <v>0</v>
      </c>
      <c r="AU234" s="573">
        <f t="shared" si="51"/>
        <v>0</v>
      </c>
      <c r="AV234" s="573">
        <f t="shared" si="51"/>
        <v>0</v>
      </c>
      <c r="AW234" s="573">
        <f t="shared" si="51"/>
        <v>0</v>
      </c>
      <c r="AX234" s="565"/>
      <c r="AY234" s="565"/>
      <c r="AZ234" s="565"/>
    </row>
    <row r="235" spans="1:52" ht="11.25" hidden="1" outlineLevel="1" x14ac:dyDescent="0.2">
      <c r="A235" s="557" t="str">
        <f t="shared" si="46"/>
        <v>2</v>
      </c>
      <c r="B235" s="537" t="s">
        <v>200</v>
      </c>
      <c r="D235" s="537" t="s">
        <v>852</v>
      </c>
      <c r="L235" s="568" t="s">
        <v>199</v>
      </c>
      <c r="M235" s="610" t="s">
        <v>200</v>
      </c>
      <c r="N235" s="570" t="s">
        <v>106</v>
      </c>
      <c r="O235" s="583"/>
      <c r="P235" s="583"/>
      <c r="Q235" s="583"/>
      <c r="R235" s="573">
        <v>0</v>
      </c>
      <c r="S235" s="583"/>
      <c r="T235" s="583"/>
      <c r="U235" s="583"/>
      <c r="V235" s="583"/>
      <c r="W235" s="583"/>
      <c r="X235" s="583"/>
      <c r="Y235" s="583"/>
      <c r="Z235" s="583"/>
      <c r="AA235" s="583"/>
      <c r="AB235" s="583"/>
      <c r="AC235" s="583"/>
      <c r="AD235" s="583"/>
      <c r="AE235" s="583"/>
      <c r="AF235" s="583"/>
      <c r="AG235" s="583"/>
      <c r="AH235" s="583"/>
      <c r="AI235" s="583"/>
      <c r="AJ235" s="583"/>
      <c r="AK235" s="583"/>
      <c r="AL235" s="583"/>
      <c r="AM235" s="583"/>
      <c r="AN235" s="573">
        <f t="shared" si="48"/>
        <v>0</v>
      </c>
      <c r="AO235" s="573">
        <f t="shared" si="51"/>
        <v>0</v>
      </c>
      <c r="AP235" s="573">
        <f t="shared" si="51"/>
        <v>0</v>
      </c>
      <c r="AQ235" s="573">
        <f t="shared" si="51"/>
        <v>0</v>
      </c>
      <c r="AR235" s="573">
        <f t="shared" si="51"/>
        <v>0</v>
      </c>
      <c r="AS235" s="573">
        <f t="shared" si="51"/>
        <v>0</v>
      </c>
      <c r="AT235" s="573">
        <f t="shared" si="51"/>
        <v>0</v>
      </c>
      <c r="AU235" s="573">
        <f t="shared" si="51"/>
        <v>0</v>
      </c>
      <c r="AV235" s="573">
        <f t="shared" si="51"/>
        <v>0</v>
      </c>
      <c r="AW235" s="573">
        <f t="shared" si="51"/>
        <v>0</v>
      </c>
      <c r="AX235" s="565"/>
      <c r="AY235" s="565"/>
      <c r="AZ235" s="565"/>
    </row>
    <row r="236" spans="1:52" s="590" customFormat="1" ht="11.25" outlineLevel="1" x14ac:dyDescent="0.2">
      <c r="A236" s="557" t="str">
        <f t="shared" si="46"/>
        <v>2</v>
      </c>
      <c r="B236" s="537" t="s">
        <v>853</v>
      </c>
      <c r="C236" s="537"/>
      <c r="D236" s="611" t="s">
        <v>854</v>
      </c>
      <c r="L236" s="591" t="s">
        <v>201</v>
      </c>
      <c r="M236" s="612" t="s">
        <v>855</v>
      </c>
      <c r="N236" s="593" t="s">
        <v>106</v>
      </c>
      <c r="O236" s="564"/>
      <c r="P236" s="564"/>
      <c r="Q236" s="564"/>
      <c r="R236" s="563">
        <v>0</v>
      </c>
      <c r="S236" s="564">
        <v>-3.29</v>
      </c>
      <c r="T236" s="583">
        <v>0</v>
      </c>
      <c r="U236" s="564"/>
      <c r="V236" s="564"/>
      <c r="W236" s="564"/>
      <c r="X236" s="564"/>
      <c r="Y236" s="564"/>
      <c r="Z236" s="564"/>
      <c r="AA236" s="564"/>
      <c r="AB236" s="564"/>
      <c r="AC236" s="564"/>
      <c r="AD236" s="583">
        <v>-24.99</v>
      </c>
      <c r="AE236" s="564">
        <v>-21.875</v>
      </c>
      <c r="AF236" s="564">
        <v>-10.94</v>
      </c>
      <c r="AG236" s="564">
        <v>-10.94</v>
      </c>
      <c r="AH236" s="564"/>
      <c r="AI236" s="564"/>
      <c r="AJ236" s="564"/>
      <c r="AK236" s="564"/>
      <c r="AL236" s="564"/>
      <c r="AM236" s="564"/>
      <c r="AN236" s="563">
        <f t="shared" si="48"/>
        <v>659.57446808510633</v>
      </c>
      <c r="AO236" s="563">
        <f t="shared" si="51"/>
        <v>-12.464985994397754</v>
      </c>
      <c r="AP236" s="563">
        <f t="shared" si="51"/>
        <v>-49.988571428571433</v>
      </c>
      <c r="AQ236" s="563">
        <f t="shared" si="51"/>
        <v>0</v>
      </c>
      <c r="AR236" s="563">
        <f t="shared" si="51"/>
        <v>-100</v>
      </c>
      <c r="AS236" s="563">
        <f t="shared" si="51"/>
        <v>0</v>
      </c>
      <c r="AT236" s="563">
        <f t="shared" si="51"/>
        <v>0</v>
      </c>
      <c r="AU236" s="563">
        <f t="shared" si="51"/>
        <v>0</v>
      </c>
      <c r="AV236" s="563">
        <f t="shared" si="51"/>
        <v>0</v>
      </c>
      <c r="AW236" s="563">
        <f t="shared" si="51"/>
        <v>0</v>
      </c>
      <c r="AX236" s="577"/>
      <c r="AY236" s="577"/>
      <c r="AZ236" s="577"/>
    </row>
    <row r="237" spans="1:52" ht="11.25" outlineLevel="1" x14ac:dyDescent="0.2">
      <c r="A237" s="557" t="str">
        <f t="shared" si="46"/>
        <v>2</v>
      </c>
      <c r="L237" s="568"/>
      <c r="M237" s="610" t="s">
        <v>856</v>
      </c>
      <c r="N237" s="570"/>
      <c r="O237" s="574"/>
      <c r="P237" s="574"/>
      <c r="Q237" s="574"/>
      <c r="R237" s="574"/>
      <c r="S237" s="574"/>
      <c r="T237" s="574"/>
      <c r="U237" s="574"/>
      <c r="V237" s="574"/>
      <c r="W237" s="574"/>
      <c r="X237" s="574"/>
      <c r="Y237" s="574"/>
      <c r="Z237" s="574"/>
      <c r="AA237" s="574"/>
      <c r="AB237" s="574"/>
      <c r="AC237" s="574"/>
      <c r="AD237" s="574"/>
      <c r="AE237" s="574"/>
      <c r="AF237" s="574"/>
      <c r="AG237" s="574"/>
      <c r="AH237" s="574"/>
      <c r="AI237" s="574"/>
      <c r="AJ237" s="574"/>
      <c r="AK237" s="574"/>
      <c r="AL237" s="574"/>
      <c r="AM237" s="574"/>
      <c r="AN237" s="574"/>
      <c r="AO237" s="574"/>
      <c r="AP237" s="574"/>
      <c r="AQ237" s="574"/>
      <c r="AR237" s="574"/>
      <c r="AS237" s="574"/>
      <c r="AT237" s="574"/>
      <c r="AU237" s="574"/>
      <c r="AV237" s="574"/>
      <c r="AW237" s="574"/>
      <c r="AX237" s="597"/>
      <c r="AY237" s="597"/>
      <c r="AZ237" s="597"/>
    </row>
    <row r="238" spans="1:52" ht="22.5" outlineLevel="1" x14ac:dyDescent="0.2">
      <c r="A238" s="557" t="str">
        <f t="shared" si="46"/>
        <v>2</v>
      </c>
      <c r="B238" s="537" t="s">
        <v>833</v>
      </c>
      <c r="D238" s="537" t="s">
        <v>857</v>
      </c>
      <c r="L238" s="568" t="s">
        <v>203</v>
      </c>
      <c r="M238" s="569" t="s">
        <v>858</v>
      </c>
      <c r="N238" s="570" t="s">
        <v>106</v>
      </c>
      <c r="O238" s="583"/>
      <c r="P238" s="583"/>
      <c r="Q238" s="583"/>
      <c r="R238" s="573">
        <v>0</v>
      </c>
      <c r="S238" s="583"/>
      <c r="T238" s="583">
        <v>0</v>
      </c>
      <c r="U238" s="583"/>
      <c r="V238" s="583"/>
      <c r="W238" s="583"/>
      <c r="X238" s="583"/>
      <c r="Y238" s="583"/>
      <c r="Z238" s="583"/>
      <c r="AA238" s="583"/>
      <c r="AB238" s="583"/>
      <c r="AC238" s="583"/>
      <c r="AD238" s="583">
        <v>0</v>
      </c>
      <c r="AE238" s="583"/>
      <c r="AF238" s="583"/>
      <c r="AG238" s="583"/>
      <c r="AH238" s="583"/>
      <c r="AI238" s="583"/>
      <c r="AJ238" s="583"/>
      <c r="AK238" s="583"/>
      <c r="AL238" s="583"/>
      <c r="AM238" s="583"/>
      <c r="AN238" s="574"/>
      <c r="AO238" s="574"/>
      <c r="AP238" s="574"/>
      <c r="AQ238" s="574"/>
      <c r="AR238" s="574"/>
      <c r="AS238" s="574"/>
      <c r="AT238" s="574"/>
      <c r="AU238" s="574"/>
      <c r="AV238" s="574"/>
      <c r="AW238" s="574"/>
      <c r="AX238" s="565"/>
      <c r="AY238" s="565"/>
      <c r="AZ238" s="565"/>
    </row>
    <row r="239" spans="1:52" ht="101.25" outlineLevel="1" x14ac:dyDescent="0.2">
      <c r="A239" s="557" t="str">
        <f t="shared" si="46"/>
        <v>2</v>
      </c>
      <c r="B239" s="537" t="s">
        <v>836</v>
      </c>
      <c r="D239" s="537" t="s">
        <v>859</v>
      </c>
      <c r="L239" s="568" t="s">
        <v>205</v>
      </c>
      <c r="M239" s="569" t="s">
        <v>860</v>
      </c>
      <c r="N239" s="570" t="s">
        <v>106</v>
      </c>
      <c r="O239" s="583"/>
      <c r="P239" s="583"/>
      <c r="Q239" s="583"/>
      <c r="R239" s="573">
        <v>0</v>
      </c>
      <c r="S239" s="583"/>
      <c r="T239" s="583">
        <v>0</v>
      </c>
      <c r="U239" s="583"/>
      <c r="V239" s="583"/>
      <c r="W239" s="583"/>
      <c r="X239" s="583"/>
      <c r="Y239" s="583"/>
      <c r="Z239" s="583"/>
      <c r="AA239" s="583"/>
      <c r="AB239" s="583"/>
      <c r="AC239" s="583"/>
      <c r="AD239" s="583">
        <v>-14.052882105080132</v>
      </c>
      <c r="AE239" s="583"/>
      <c r="AF239" s="583"/>
      <c r="AG239" s="583"/>
      <c r="AH239" s="583"/>
      <c r="AI239" s="583"/>
      <c r="AJ239" s="583"/>
      <c r="AK239" s="583"/>
      <c r="AL239" s="583"/>
      <c r="AM239" s="583"/>
      <c r="AN239" s="574"/>
      <c r="AO239" s="574"/>
      <c r="AP239" s="574"/>
      <c r="AQ239" s="574"/>
      <c r="AR239" s="574"/>
      <c r="AS239" s="574"/>
      <c r="AT239" s="574"/>
      <c r="AU239" s="574"/>
      <c r="AV239" s="574"/>
      <c r="AW239" s="574"/>
      <c r="AX239" s="565"/>
      <c r="AY239" s="565"/>
      <c r="AZ239" s="565"/>
    </row>
    <row r="240" spans="1:52" ht="45" outlineLevel="1" x14ac:dyDescent="0.2">
      <c r="A240" s="557" t="str">
        <f t="shared" si="46"/>
        <v>2</v>
      </c>
      <c r="D240" s="537" t="s">
        <v>861</v>
      </c>
      <c r="L240" s="568" t="s">
        <v>207</v>
      </c>
      <c r="M240" s="569" t="s">
        <v>862</v>
      </c>
      <c r="N240" s="570" t="s">
        <v>106</v>
      </c>
      <c r="O240" s="583"/>
      <c r="P240" s="583"/>
      <c r="Q240" s="583"/>
      <c r="R240" s="573">
        <v>0</v>
      </c>
      <c r="S240" s="583">
        <v>-3.29</v>
      </c>
      <c r="T240" s="583">
        <v>0</v>
      </c>
      <c r="U240" s="583"/>
      <c r="V240" s="583"/>
      <c r="W240" s="583"/>
      <c r="X240" s="583"/>
      <c r="Y240" s="583"/>
      <c r="Z240" s="583"/>
      <c r="AA240" s="583"/>
      <c r="AB240" s="583"/>
      <c r="AC240" s="583"/>
      <c r="AD240" s="583">
        <v>-10.94</v>
      </c>
      <c r="AE240" s="583">
        <v>-21.88</v>
      </c>
      <c r="AF240" s="583">
        <v>-10.94</v>
      </c>
      <c r="AG240" s="583">
        <v>-10.94</v>
      </c>
      <c r="AH240" s="583"/>
      <c r="AI240" s="583"/>
      <c r="AJ240" s="583"/>
      <c r="AK240" s="583"/>
      <c r="AL240" s="583"/>
      <c r="AM240" s="583"/>
      <c r="AN240" s="574"/>
      <c r="AO240" s="574"/>
      <c r="AP240" s="574"/>
      <c r="AQ240" s="574"/>
      <c r="AR240" s="574"/>
      <c r="AS240" s="574"/>
      <c r="AT240" s="574"/>
      <c r="AU240" s="574"/>
      <c r="AV240" s="574"/>
      <c r="AW240" s="574"/>
      <c r="AX240" s="565"/>
      <c r="AY240" s="565"/>
      <c r="AZ240" s="565"/>
    </row>
    <row r="241" spans="1:52" ht="102" hidden="1" outlineLevel="1" x14ac:dyDescent="0.25">
      <c r="A241" s="557" t="str">
        <f t="shared" si="46"/>
        <v>2</v>
      </c>
      <c r="B241" s="537" t="s">
        <v>840</v>
      </c>
      <c r="C241" s="595" t="b">
        <f>D142="Водоотведение"</f>
        <v>1</v>
      </c>
      <c r="D241" s="537" t="s">
        <v>863</v>
      </c>
      <c r="L241" s="568" t="s">
        <v>209</v>
      </c>
      <c r="M241" s="613" t="s">
        <v>864</v>
      </c>
      <c r="N241" s="582" t="s">
        <v>106</v>
      </c>
      <c r="O241" s="583"/>
      <c r="P241" s="583"/>
      <c r="Q241" s="583"/>
      <c r="R241" s="573">
        <v>0</v>
      </c>
      <c r="S241" s="583"/>
      <c r="T241" s="583">
        <v>0</v>
      </c>
      <c r="U241" s="583"/>
      <c r="V241" s="583"/>
      <c r="W241" s="583"/>
      <c r="X241" s="583"/>
      <c r="Y241" s="583"/>
      <c r="Z241" s="583"/>
      <c r="AA241" s="583"/>
      <c r="AB241" s="583"/>
      <c r="AC241" s="583"/>
      <c r="AD241" s="583">
        <v>0</v>
      </c>
      <c r="AE241" s="583"/>
      <c r="AF241" s="583"/>
      <c r="AG241" s="583"/>
      <c r="AH241" s="583"/>
      <c r="AI241" s="583"/>
      <c r="AJ241" s="583"/>
      <c r="AK241" s="583"/>
      <c r="AL241" s="583"/>
      <c r="AM241" s="583"/>
      <c r="AN241" s="574"/>
      <c r="AO241" s="574"/>
      <c r="AP241" s="574"/>
      <c r="AQ241" s="574"/>
      <c r="AR241" s="574"/>
      <c r="AS241" s="574"/>
      <c r="AT241" s="574"/>
      <c r="AU241" s="574"/>
      <c r="AV241" s="574"/>
      <c r="AW241" s="574"/>
      <c r="AX241" s="565"/>
      <c r="AY241" s="565"/>
      <c r="AZ241" s="565"/>
    </row>
    <row r="242" spans="1:52" ht="56.25" hidden="1" outlineLevel="1" x14ac:dyDescent="0.25">
      <c r="A242" s="557" t="str">
        <f t="shared" si="46"/>
        <v>2</v>
      </c>
      <c r="B242" s="537" t="s">
        <v>852</v>
      </c>
      <c r="C242" s="595" t="b">
        <f>D142="Водоотведение"</f>
        <v>1</v>
      </c>
      <c r="D242" s="537" t="s">
        <v>865</v>
      </c>
      <c r="L242" s="568" t="s">
        <v>211</v>
      </c>
      <c r="M242" s="569" t="s">
        <v>866</v>
      </c>
      <c r="N242" s="582" t="s">
        <v>106</v>
      </c>
      <c r="O242" s="583"/>
      <c r="P242" s="583"/>
      <c r="Q242" s="583"/>
      <c r="R242" s="573">
        <v>0</v>
      </c>
      <c r="S242" s="583"/>
      <c r="T242" s="583">
        <v>0</v>
      </c>
      <c r="U242" s="583"/>
      <c r="V242" s="583"/>
      <c r="W242" s="583"/>
      <c r="X242" s="583"/>
      <c r="Y242" s="583"/>
      <c r="Z242" s="583"/>
      <c r="AA242" s="583"/>
      <c r="AB242" s="583"/>
      <c r="AC242" s="583"/>
      <c r="AD242" s="583">
        <v>0</v>
      </c>
      <c r="AE242" s="583"/>
      <c r="AF242" s="583"/>
      <c r="AG242" s="583"/>
      <c r="AH242" s="583"/>
      <c r="AI242" s="583"/>
      <c r="AJ242" s="583"/>
      <c r="AK242" s="583"/>
      <c r="AL242" s="583"/>
      <c r="AM242" s="583"/>
      <c r="AN242" s="574"/>
      <c r="AO242" s="574"/>
      <c r="AP242" s="574"/>
      <c r="AQ242" s="574"/>
      <c r="AR242" s="574"/>
      <c r="AS242" s="574"/>
      <c r="AT242" s="574"/>
      <c r="AU242" s="574"/>
      <c r="AV242" s="574"/>
      <c r="AW242" s="574"/>
      <c r="AX242" s="565"/>
      <c r="AY242" s="565"/>
      <c r="AZ242" s="565"/>
    </row>
    <row r="243" spans="1:52" ht="11.25" hidden="1" outlineLevel="1" x14ac:dyDescent="0.2">
      <c r="A243" s="557" t="str">
        <f t="shared" si="46"/>
        <v>2</v>
      </c>
      <c r="B243" s="537" t="s">
        <v>857</v>
      </c>
      <c r="D243" s="537" t="s">
        <v>867</v>
      </c>
      <c r="L243" s="568" t="s">
        <v>213</v>
      </c>
      <c r="M243" s="569" t="s">
        <v>868</v>
      </c>
      <c r="N243" s="570" t="s">
        <v>106</v>
      </c>
      <c r="O243" s="583"/>
      <c r="P243" s="583"/>
      <c r="Q243" s="583"/>
      <c r="R243" s="573">
        <v>0</v>
      </c>
      <c r="S243" s="583"/>
      <c r="T243" s="583">
        <v>0</v>
      </c>
      <c r="U243" s="583"/>
      <c r="V243" s="583"/>
      <c r="W243" s="583"/>
      <c r="X243" s="583"/>
      <c r="Y243" s="583"/>
      <c r="Z243" s="583"/>
      <c r="AA243" s="583"/>
      <c r="AB243" s="583"/>
      <c r="AC243" s="583"/>
      <c r="AD243" s="583">
        <v>0</v>
      </c>
      <c r="AE243" s="583"/>
      <c r="AF243" s="583"/>
      <c r="AG243" s="583"/>
      <c r="AH243" s="583"/>
      <c r="AI243" s="583"/>
      <c r="AJ243" s="583"/>
      <c r="AK243" s="583"/>
      <c r="AL243" s="583"/>
      <c r="AM243" s="583"/>
      <c r="AN243" s="574"/>
      <c r="AO243" s="574"/>
      <c r="AP243" s="574"/>
      <c r="AQ243" s="574"/>
      <c r="AR243" s="574"/>
      <c r="AS243" s="574"/>
      <c r="AT243" s="574"/>
      <c r="AU243" s="574"/>
      <c r="AV243" s="574"/>
      <c r="AW243" s="574"/>
      <c r="AX243" s="565"/>
      <c r="AY243" s="565"/>
      <c r="AZ243" s="565"/>
    </row>
    <row r="244" spans="1:52" ht="11.25" hidden="1" outlineLevel="1" x14ac:dyDescent="0.2">
      <c r="A244" s="557" t="str">
        <f t="shared" si="46"/>
        <v>2</v>
      </c>
      <c r="B244" s="537" t="s">
        <v>859</v>
      </c>
      <c r="D244" s="537" t="s">
        <v>869</v>
      </c>
      <c r="L244" s="568" t="s">
        <v>870</v>
      </c>
      <c r="M244" s="569" t="s">
        <v>871</v>
      </c>
      <c r="N244" s="570" t="s">
        <v>106</v>
      </c>
      <c r="O244" s="583">
        <v>0</v>
      </c>
      <c r="P244" s="583">
        <v>0</v>
      </c>
      <c r="Q244" s="583">
        <v>0</v>
      </c>
      <c r="R244" s="573">
        <v>0</v>
      </c>
      <c r="S244" s="583">
        <v>0</v>
      </c>
      <c r="T244" s="583">
        <v>0</v>
      </c>
      <c r="U244" s="583">
        <v>0</v>
      </c>
      <c r="V244" s="583">
        <v>0</v>
      </c>
      <c r="W244" s="583">
        <v>0</v>
      </c>
      <c r="X244" s="583">
        <v>0</v>
      </c>
      <c r="Y244" s="583">
        <v>0</v>
      </c>
      <c r="Z244" s="583">
        <v>0</v>
      </c>
      <c r="AA244" s="583">
        <v>0</v>
      </c>
      <c r="AB244" s="583">
        <v>0</v>
      </c>
      <c r="AC244" s="583">
        <v>0</v>
      </c>
      <c r="AD244" s="583">
        <v>0</v>
      </c>
      <c r="AE244" s="583">
        <v>0</v>
      </c>
      <c r="AF244" s="583">
        <v>0</v>
      </c>
      <c r="AG244" s="583">
        <v>0</v>
      </c>
      <c r="AH244" s="583">
        <v>0</v>
      </c>
      <c r="AI244" s="583">
        <f t="shared" ref="AI244:AM244" si="53">AI245+AI246</f>
        <v>0</v>
      </c>
      <c r="AJ244" s="583">
        <f t="shared" si="53"/>
        <v>0</v>
      </c>
      <c r="AK244" s="583">
        <f t="shared" si="53"/>
        <v>0</v>
      </c>
      <c r="AL244" s="583">
        <f t="shared" si="53"/>
        <v>0</v>
      </c>
      <c r="AM244" s="583">
        <f t="shared" si="53"/>
        <v>0</v>
      </c>
      <c r="AN244" s="573">
        <f>IF(S244=0,0,(AD244-S244)/S244*100)</f>
        <v>0</v>
      </c>
      <c r="AO244" s="573">
        <f t="shared" ref="AO244:AW244" si="54">IF(AD244=0,0,(AE244-AD244)/AD244*100)</f>
        <v>0</v>
      </c>
      <c r="AP244" s="573">
        <f t="shared" si="54"/>
        <v>0</v>
      </c>
      <c r="AQ244" s="573">
        <f t="shared" si="54"/>
        <v>0</v>
      </c>
      <c r="AR244" s="573">
        <f t="shared" si="54"/>
        <v>0</v>
      </c>
      <c r="AS244" s="573">
        <f t="shared" si="54"/>
        <v>0</v>
      </c>
      <c r="AT244" s="573">
        <f t="shared" si="54"/>
        <v>0</v>
      </c>
      <c r="AU244" s="573">
        <f t="shared" si="54"/>
        <v>0</v>
      </c>
      <c r="AV244" s="573">
        <f t="shared" si="54"/>
        <v>0</v>
      </c>
      <c r="AW244" s="573">
        <f t="shared" si="54"/>
        <v>0</v>
      </c>
      <c r="AX244" s="565"/>
      <c r="AY244" s="565"/>
      <c r="AZ244" s="565"/>
    </row>
    <row r="245" spans="1:52" ht="25.5" hidden="1" outlineLevel="1" x14ac:dyDescent="0.2">
      <c r="A245" s="557" t="str">
        <f t="shared" si="46"/>
        <v>2</v>
      </c>
      <c r="B245" s="537" t="s">
        <v>872</v>
      </c>
      <c r="D245" s="537" t="s">
        <v>873</v>
      </c>
      <c r="L245" s="568" t="s">
        <v>874</v>
      </c>
      <c r="M245" s="614" t="s">
        <v>875</v>
      </c>
      <c r="N245" s="570" t="s">
        <v>106</v>
      </c>
      <c r="O245" s="583"/>
      <c r="P245" s="583"/>
      <c r="Q245" s="583"/>
      <c r="R245" s="573">
        <v>0</v>
      </c>
      <c r="S245" s="583"/>
      <c r="T245" s="583">
        <v>0</v>
      </c>
      <c r="U245" s="583"/>
      <c r="V245" s="583"/>
      <c r="W245" s="583"/>
      <c r="X245" s="583"/>
      <c r="Y245" s="583"/>
      <c r="Z245" s="583"/>
      <c r="AA245" s="583"/>
      <c r="AB245" s="583"/>
      <c r="AC245" s="583"/>
      <c r="AD245" s="583">
        <v>0</v>
      </c>
      <c r="AE245" s="583"/>
      <c r="AF245" s="583"/>
      <c r="AG245" s="583"/>
      <c r="AH245" s="583"/>
      <c r="AI245" s="583"/>
      <c r="AJ245" s="583"/>
      <c r="AK245" s="583"/>
      <c r="AL245" s="583"/>
      <c r="AM245" s="583"/>
      <c r="AN245" s="574"/>
      <c r="AO245" s="574"/>
      <c r="AP245" s="574"/>
      <c r="AQ245" s="574"/>
      <c r="AR245" s="574"/>
      <c r="AS245" s="574"/>
      <c r="AT245" s="574"/>
      <c r="AU245" s="574"/>
      <c r="AV245" s="574"/>
      <c r="AW245" s="574"/>
      <c r="AX245" s="565"/>
      <c r="AY245" s="565"/>
      <c r="AZ245" s="565"/>
    </row>
    <row r="246" spans="1:52" ht="22.5" hidden="1" outlineLevel="1" x14ac:dyDescent="0.2">
      <c r="A246" s="557" t="str">
        <f t="shared" si="46"/>
        <v>2</v>
      </c>
      <c r="B246" s="537" t="s">
        <v>876</v>
      </c>
      <c r="D246" s="537" t="s">
        <v>877</v>
      </c>
      <c r="L246" s="568" t="s">
        <v>878</v>
      </c>
      <c r="M246" s="604" t="s">
        <v>879</v>
      </c>
      <c r="N246" s="570" t="s">
        <v>106</v>
      </c>
      <c r="O246" s="583"/>
      <c r="P246" s="583"/>
      <c r="Q246" s="583"/>
      <c r="R246" s="573">
        <v>0</v>
      </c>
      <c r="S246" s="583"/>
      <c r="T246" s="583">
        <v>0</v>
      </c>
      <c r="U246" s="583"/>
      <c r="V246" s="583"/>
      <c r="W246" s="583"/>
      <c r="X246" s="583"/>
      <c r="Y246" s="583"/>
      <c r="Z246" s="583"/>
      <c r="AA246" s="583"/>
      <c r="AB246" s="583"/>
      <c r="AC246" s="583"/>
      <c r="AD246" s="583">
        <v>0</v>
      </c>
      <c r="AE246" s="583"/>
      <c r="AF246" s="583"/>
      <c r="AG246" s="583"/>
      <c r="AH246" s="583"/>
      <c r="AI246" s="583"/>
      <c r="AJ246" s="583"/>
      <c r="AK246" s="583"/>
      <c r="AL246" s="583"/>
      <c r="AM246" s="583"/>
      <c r="AN246" s="574"/>
      <c r="AO246" s="574"/>
      <c r="AP246" s="574"/>
      <c r="AQ246" s="574"/>
      <c r="AR246" s="574"/>
      <c r="AS246" s="574"/>
      <c r="AT246" s="574"/>
      <c r="AU246" s="574"/>
      <c r="AV246" s="574"/>
      <c r="AW246" s="574"/>
      <c r="AX246" s="565"/>
      <c r="AY246" s="565"/>
      <c r="AZ246" s="565"/>
    </row>
    <row r="247" spans="1:52" ht="11.25" hidden="1" outlineLevel="1" x14ac:dyDescent="0.2">
      <c r="A247" s="557" t="str">
        <f t="shared" si="46"/>
        <v>2</v>
      </c>
      <c r="B247" s="537" t="s">
        <v>861</v>
      </c>
      <c r="D247" s="537" t="s">
        <v>880</v>
      </c>
      <c r="L247" s="615" t="s">
        <v>881</v>
      </c>
      <c r="M247" s="605" t="s">
        <v>882</v>
      </c>
      <c r="N247" s="570" t="s">
        <v>106</v>
      </c>
      <c r="O247" s="583"/>
      <c r="P247" s="583"/>
      <c r="Q247" s="583"/>
      <c r="R247" s="573">
        <v>0</v>
      </c>
      <c r="S247" s="583"/>
      <c r="T247" s="583">
        <v>0</v>
      </c>
      <c r="U247" s="583"/>
      <c r="V247" s="583"/>
      <c r="W247" s="583"/>
      <c r="X247" s="583"/>
      <c r="Y247" s="583"/>
      <c r="Z247" s="583"/>
      <c r="AA247" s="583"/>
      <c r="AB247" s="583"/>
      <c r="AC247" s="583"/>
      <c r="AD247" s="583">
        <v>0</v>
      </c>
      <c r="AE247" s="583"/>
      <c r="AF247" s="583"/>
      <c r="AG247" s="583"/>
      <c r="AH247" s="583"/>
      <c r="AI247" s="583"/>
      <c r="AJ247" s="583"/>
      <c r="AK247" s="583"/>
      <c r="AL247" s="583"/>
      <c r="AM247" s="583"/>
      <c r="AN247" s="574"/>
      <c r="AO247" s="574"/>
      <c r="AP247" s="574"/>
      <c r="AQ247" s="574"/>
      <c r="AR247" s="574"/>
      <c r="AS247" s="574"/>
      <c r="AT247" s="574"/>
      <c r="AU247" s="574"/>
      <c r="AV247" s="574"/>
      <c r="AW247" s="574"/>
      <c r="AX247" s="565"/>
      <c r="AY247" s="565"/>
      <c r="AZ247" s="565"/>
    </row>
    <row r="248" spans="1:52" ht="11.25" hidden="1" outlineLevel="1" x14ac:dyDescent="0.2">
      <c r="A248" s="557" t="str">
        <f t="shared" si="46"/>
        <v>2</v>
      </c>
      <c r="B248" s="537" t="s">
        <v>883</v>
      </c>
      <c r="D248" s="537" t="s">
        <v>884</v>
      </c>
      <c r="L248" s="615" t="s">
        <v>885</v>
      </c>
      <c r="M248" s="605" t="s">
        <v>886</v>
      </c>
      <c r="N248" s="570" t="s">
        <v>106</v>
      </c>
      <c r="O248" s="583"/>
      <c r="P248" s="583"/>
      <c r="Q248" s="583"/>
      <c r="R248" s="573">
        <v>0</v>
      </c>
      <c r="S248" s="583"/>
      <c r="T248" s="583">
        <v>0</v>
      </c>
      <c r="U248" s="583"/>
      <c r="V248" s="583"/>
      <c r="W248" s="583"/>
      <c r="X248" s="583"/>
      <c r="Y248" s="583"/>
      <c r="Z248" s="583"/>
      <c r="AA248" s="583"/>
      <c r="AB248" s="583"/>
      <c r="AC248" s="583"/>
      <c r="AD248" s="583">
        <v>0</v>
      </c>
      <c r="AE248" s="583"/>
      <c r="AF248" s="583"/>
      <c r="AG248" s="583"/>
      <c r="AH248" s="583"/>
      <c r="AI248" s="583"/>
      <c r="AJ248" s="583"/>
      <c r="AK248" s="583"/>
      <c r="AL248" s="583"/>
      <c r="AM248" s="583"/>
      <c r="AN248" s="574"/>
      <c r="AO248" s="574"/>
      <c r="AP248" s="574"/>
      <c r="AQ248" s="574"/>
      <c r="AR248" s="574"/>
      <c r="AS248" s="574"/>
      <c r="AT248" s="574"/>
      <c r="AU248" s="574"/>
      <c r="AV248" s="574"/>
      <c r="AW248" s="574"/>
      <c r="AX248" s="565"/>
      <c r="AY248" s="565"/>
      <c r="AZ248" s="565"/>
    </row>
    <row r="249" spans="1:52" s="590" customFormat="1" ht="11.25" hidden="1" outlineLevel="1" x14ac:dyDescent="0.2">
      <c r="A249" s="557" t="str">
        <f t="shared" si="46"/>
        <v>2</v>
      </c>
      <c r="D249" s="590" t="s">
        <v>883</v>
      </c>
      <c r="L249" s="591" t="s">
        <v>224</v>
      </c>
      <c r="M249" s="608" t="s">
        <v>887</v>
      </c>
      <c r="N249" s="593" t="s">
        <v>106</v>
      </c>
      <c r="O249" s="564"/>
      <c r="P249" s="564"/>
      <c r="Q249" s="564"/>
      <c r="R249" s="563">
        <v>0</v>
      </c>
      <c r="S249" s="564"/>
      <c r="T249" s="564"/>
      <c r="U249" s="564"/>
      <c r="V249" s="564"/>
      <c r="W249" s="564"/>
      <c r="X249" s="564"/>
      <c r="Y249" s="564"/>
      <c r="Z249" s="564"/>
      <c r="AA249" s="564"/>
      <c r="AB249" s="564"/>
      <c r="AC249" s="564"/>
      <c r="AD249" s="564"/>
      <c r="AE249" s="564"/>
      <c r="AF249" s="564"/>
      <c r="AG249" s="564"/>
      <c r="AH249" s="564"/>
      <c r="AI249" s="564"/>
      <c r="AJ249" s="564"/>
      <c r="AK249" s="564"/>
      <c r="AL249" s="564"/>
      <c r="AM249" s="564"/>
      <c r="AN249" s="576"/>
      <c r="AO249" s="576"/>
      <c r="AP249" s="576"/>
      <c r="AQ249" s="576"/>
      <c r="AR249" s="576"/>
      <c r="AS249" s="576"/>
      <c r="AT249" s="576"/>
      <c r="AU249" s="576"/>
      <c r="AV249" s="576"/>
      <c r="AW249" s="576"/>
      <c r="AX249" s="577"/>
      <c r="AY249" s="577"/>
      <c r="AZ249" s="577"/>
    </row>
    <row r="250" spans="1:52" ht="11.25" hidden="1" outlineLevel="1" x14ac:dyDescent="0.2">
      <c r="A250" s="557" t="str">
        <f t="shared" si="46"/>
        <v>2</v>
      </c>
      <c r="D250" s="537" t="s">
        <v>888</v>
      </c>
      <c r="L250" s="568" t="s">
        <v>889</v>
      </c>
      <c r="M250" s="569" t="s">
        <v>890</v>
      </c>
      <c r="N250" s="570" t="s">
        <v>24</v>
      </c>
      <c r="O250" s="573">
        <v>0</v>
      </c>
      <c r="P250" s="573">
        <v>0</v>
      </c>
      <c r="Q250" s="573">
        <v>0</v>
      </c>
      <c r="R250" s="573">
        <v>0</v>
      </c>
      <c r="S250" s="573">
        <v>0</v>
      </c>
      <c r="T250" s="573">
        <v>0</v>
      </c>
      <c r="U250" s="573">
        <v>0</v>
      </c>
      <c r="V250" s="573">
        <v>0</v>
      </c>
      <c r="W250" s="573">
        <v>0</v>
      </c>
      <c r="X250" s="573">
        <v>0</v>
      </c>
      <c r="Y250" s="573">
        <v>0</v>
      </c>
      <c r="Z250" s="573">
        <v>0</v>
      </c>
      <c r="AA250" s="573">
        <v>0</v>
      </c>
      <c r="AB250" s="573">
        <v>0</v>
      </c>
      <c r="AC250" s="573">
        <v>0</v>
      </c>
      <c r="AD250" s="573">
        <v>0</v>
      </c>
      <c r="AE250" s="573">
        <v>0</v>
      </c>
      <c r="AF250" s="573">
        <v>0</v>
      </c>
      <c r="AG250" s="573">
        <v>0</v>
      </c>
      <c r="AH250" s="573">
        <v>0</v>
      </c>
      <c r="AI250" s="573" t="e">
        <f t="shared" ref="AI250:AM250" si="55">IF(AI251=0,0,AI249/AI251*100)</f>
        <v>#REF!</v>
      </c>
      <c r="AJ250" s="573" t="e">
        <f t="shared" si="55"/>
        <v>#REF!</v>
      </c>
      <c r="AK250" s="573" t="e">
        <f t="shared" si="55"/>
        <v>#REF!</v>
      </c>
      <c r="AL250" s="573" t="e">
        <f t="shared" si="55"/>
        <v>#REF!</v>
      </c>
      <c r="AM250" s="573" t="e">
        <f t="shared" si="55"/>
        <v>#REF!</v>
      </c>
      <c r="AN250" s="574"/>
      <c r="AO250" s="574"/>
      <c r="AP250" s="574"/>
      <c r="AQ250" s="574"/>
      <c r="AR250" s="574"/>
      <c r="AS250" s="574"/>
      <c r="AT250" s="574"/>
      <c r="AU250" s="574"/>
      <c r="AV250" s="574"/>
      <c r="AW250" s="574"/>
      <c r="AX250" s="565"/>
      <c r="AY250" s="565"/>
      <c r="AZ250" s="565"/>
    </row>
    <row r="251" spans="1:52" s="590" customFormat="1" ht="11.25" outlineLevel="1" x14ac:dyDescent="0.2">
      <c r="A251" s="557" t="str">
        <f t="shared" si="46"/>
        <v>2</v>
      </c>
      <c r="C251" s="537"/>
      <c r="D251" s="537" t="s">
        <v>853</v>
      </c>
      <c r="L251" s="591" t="s">
        <v>226</v>
      </c>
      <c r="M251" s="608" t="s">
        <v>891</v>
      </c>
      <c r="N251" s="562" t="s">
        <v>106</v>
      </c>
      <c r="O251" s="616">
        <v>468.43</v>
      </c>
      <c r="P251" s="594">
        <v>322.00349999999997</v>
      </c>
      <c r="Q251" s="594">
        <v>424.12</v>
      </c>
      <c r="R251" s="563">
        <v>102.11650000000003</v>
      </c>
      <c r="S251" s="594">
        <v>491.2</v>
      </c>
      <c r="T251" s="594">
        <v>767.72798298631994</v>
      </c>
      <c r="U251" s="594">
        <v>790.44681128271509</v>
      </c>
      <c r="V251" s="594">
        <v>813.93811689668337</v>
      </c>
      <c r="W251" s="594">
        <v>838.02180515682528</v>
      </c>
      <c r="X251" s="594">
        <v>862.81837058946735</v>
      </c>
      <c r="Y251" s="594">
        <v>862.51837058946739</v>
      </c>
      <c r="Z251" s="594">
        <v>862.51837058946739</v>
      </c>
      <c r="AA251" s="594">
        <v>862.51837058946739</v>
      </c>
      <c r="AB251" s="594">
        <v>862.51837058946739</v>
      </c>
      <c r="AC251" s="594">
        <v>862.51837058946739</v>
      </c>
      <c r="AD251" s="594">
        <v>406.11897076910407</v>
      </c>
      <c r="AE251" s="594">
        <v>419.39088756218848</v>
      </c>
      <c r="AF251" s="594">
        <v>431.91999999999996</v>
      </c>
      <c r="AG251" s="594">
        <v>444.70499999999998</v>
      </c>
      <c r="AH251" s="594">
        <v>457.97999999999996</v>
      </c>
      <c r="AI251" s="594" t="e">
        <f t="shared" ref="AI251:AM251" si="56">AI143+AI193+AI227+AI228+AI230+AI235</f>
        <v>#REF!</v>
      </c>
      <c r="AJ251" s="594" t="e">
        <f t="shared" si="56"/>
        <v>#REF!</v>
      </c>
      <c r="AK251" s="594" t="e">
        <f t="shared" si="56"/>
        <v>#REF!</v>
      </c>
      <c r="AL251" s="594" t="e">
        <f t="shared" si="56"/>
        <v>#REF!</v>
      </c>
      <c r="AM251" s="594" t="e">
        <f t="shared" si="56"/>
        <v>#REF!</v>
      </c>
      <c r="AN251" s="563">
        <f>IF(S251=0,0,(AD251-S251)/S251*100)</f>
        <v>-17.321056439514642</v>
      </c>
      <c r="AO251" s="563">
        <f t="shared" ref="AO251:AW252" si="57">IF(AD251=0,0,(AE251-AD251)/AD251*100)</f>
        <v>3.2679873998375872</v>
      </c>
      <c r="AP251" s="563">
        <f t="shared" si="57"/>
        <v>2.9874546179674981</v>
      </c>
      <c r="AQ251" s="563">
        <f t="shared" si="57"/>
        <v>2.9600388960918749</v>
      </c>
      <c r="AR251" s="563">
        <f t="shared" si="57"/>
        <v>2.9851249704860474</v>
      </c>
      <c r="AS251" s="563" t="e">
        <f t="shared" si="57"/>
        <v>#REF!</v>
      </c>
      <c r="AT251" s="563" t="e">
        <f t="shared" si="57"/>
        <v>#REF!</v>
      </c>
      <c r="AU251" s="563" t="e">
        <f t="shared" si="57"/>
        <v>#REF!</v>
      </c>
      <c r="AV251" s="563" t="e">
        <f t="shared" si="57"/>
        <v>#REF!</v>
      </c>
      <c r="AW251" s="563" t="e">
        <f t="shared" si="57"/>
        <v>#REF!</v>
      </c>
      <c r="AX251" s="565"/>
      <c r="AY251" s="565"/>
      <c r="AZ251" s="565"/>
    </row>
    <row r="252" spans="1:52" s="590" customFormat="1" ht="11.25" outlineLevel="1" x14ac:dyDescent="0.2">
      <c r="A252" s="557" t="str">
        <f t="shared" si="46"/>
        <v>2</v>
      </c>
      <c r="C252" s="537"/>
      <c r="D252" s="537" t="s">
        <v>892</v>
      </c>
      <c r="L252" s="591" t="s">
        <v>394</v>
      </c>
      <c r="M252" s="608" t="s">
        <v>893</v>
      </c>
      <c r="N252" s="593" t="s">
        <v>106</v>
      </c>
      <c r="O252" s="616">
        <v>468.43</v>
      </c>
      <c r="P252" s="594">
        <v>322.00349999999997</v>
      </c>
      <c r="Q252" s="594">
        <v>424.12</v>
      </c>
      <c r="R252" s="594">
        <v>102.11650000000003</v>
      </c>
      <c r="S252" s="594">
        <v>487.90999999999997</v>
      </c>
      <c r="T252" s="594">
        <v>767.72798298631994</v>
      </c>
      <c r="U252" s="594">
        <v>790.44681128271509</v>
      </c>
      <c r="V252" s="594">
        <v>813.93811689668337</v>
      </c>
      <c r="W252" s="594">
        <v>838.02180515682528</v>
      </c>
      <c r="X252" s="594">
        <v>862.81837058946735</v>
      </c>
      <c r="Y252" s="594">
        <v>862.51837058946739</v>
      </c>
      <c r="Z252" s="594">
        <v>862.51837058946739</v>
      </c>
      <c r="AA252" s="594">
        <v>862.51837058946739</v>
      </c>
      <c r="AB252" s="594">
        <v>862.51837058946739</v>
      </c>
      <c r="AC252" s="594">
        <v>862.51837058946739</v>
      </c>
      <c r="AD252" s="594">
        <v>381.12897076910406</v>
      </c>
      <c r="AE252" s="594">
        <v>397.51588756218848</v>
      </c>
      <c r="AF252" s="594">
        <v>420.97999999999996</v>
      </c>
      <c r="AG252" s="594">
        <v>433.76499999999999</v>
      </c>
      <c r="AH252" s="594">
        <v>457.97999999999996</v>
      </c>
      <c r="AI252" s="594" t="e">
        <f t="shared" ref="AI252:AM252" si="58">AI251+AI236+AI249</f>
        <v>#REF!</v>
      </c>
      <c r="AJ252" s="594" t="e">
        <f t="shared" si="58"/>
        <v>#REF!</v>
      </c>
      <c r="AK252" s="594" t="e">
        <f t="shared" si="58"/>
        <v>#REF!</v>
      </c>
      <c r="AL252" s="594" t="e">
        <f t="shared" si="58"/>
        <v>#REF!</v>
      </c>
      <c r="AM252" s="594" t="e">
        <f t="shared" si="58"/>
        <v>#REF!</v>
      </c>
      <c r="AN252" s="563">
        <f>IF(S252=0,0,(AD252-S252)/S252*100)</f>
        <v>-21.885394689778014</v>
      </c>
      <c r="AO252" s="563">
        <f t="shared" si="57"/>
        <v>4.299572598749509</v>
      </c>
      <c r="AP252" s="563">
        <f t="shared" si="57"/>
        <v>5.9026854452806461</v>
      </c>
      <c r="AQ252" s="563">
        <f t="shared" si="57"/>
        <v>3.0369613758373379</v>
      </c>
      <c r="AR252" s="563">
        <f t="shared" si="57"/>
        <v>5.582515878413421</v>
      </c>
      <c r="AS252" s="563" t="e">
        <f t="shared" si="57"/>
        <v>#REF!</v>
      </c>
      <c r="AT252" s="563" t="e">
        <f t="shared" si="57"/>
        <v>#REF!</v>
      </c>
      <c r="AU252" s="563" t="e">
        <f t="shared" si="57"/>
        <v>#REF!</v>
      </c>
      <c r="AV252" s="563" t="e">
        <f t="shared" si="57"/>
        <v>#REF!</v>
      </c>
      <c r="AW252" s="563" t="e">
        <f t="shared" si="57"/>
        <v>#REF!</v>
      </c>
      <c r="AX252" s="565"/>
      <c r="AY252" s="565"/>
      <c r="AZ252" s="565"/>
    </row>
    <row r="253" spans="1:52" ht="15" hidden="1" outlineLevel="1" x14ac:dyDescent="0.25">
      <c r="A253" s="557" t="str">
        <f t="shared" si="46"/>
        <v>2</v>
      </c>
      <c r="C253" s="595" t="b">
        <f>B142="двухставочный"</f>
        <v>0</v>
      </c>
      <c r="D253" s="617" t="s">
        <v>894</v>
      </c>
      <c r="L253" s="615" t="s">
        <v>895</v>
      </c>
      <c r="M253" s="605" t="s">
        <v>896</v>
      </c>
      <c r="N253" s="570" t="s">
        <v>106</v>
      </c>
      <c r="O253" s="583"/>
      <c r="P253" s="583"/>
      <c r="Q253" s="583"/>
      <c r="R253" s="573">
        <v>0</v>
      </c>
      <c r="S253" s="583"/>
      <c r="T253" s="583"/>
      <c r="U253" s="583"/>
      <c r="V253" s="583"/>
      <c r="W253" s="583"/>
      <c r="X253" s="583"/>
      <c r="Y253" s="583"/>
      <c r="Z253" s="583"/>
      <c r="AA253" s="583"/>
      <c r="AB253" s="583"/>
      <c r="AC253" s="583"/>
      <c r="AD253" s="583"/>
      <c r="AE253" s="583"/>
      <c r="AF253" s="583"/>
      <c r="AG253" s="583"/>
      <c r="AH253" s="583"/>
      <c r="AI253" s="583"/>
      <c r="AJ253" s="583"/>
      <c r="AK253" s="583"/>
      <c r="AL253" s="583"/>
      <c r="AM253" s="583"/>
      <c r="AN253" s="574"/>
      <c r="AO253" s="574"/>
      <c r="AP253" s="574"/>
      <c r="AQ253" s="574"/>
      <c r="AR253" s="574"/>
      <c r="AS253" s="574"/>
      <c r="AT253" s="574"/>
      <c r="AU253" s="574"/>
      <c r="AV253" s="574"/>
      <c r="AW253" s="574"/>
      <c r="AX253" s="565"/>
      <c r="AY253" s="565"/>
      <c r="AZ253" s="565"/>
    </row>
    <row r="254" spans="1:52" ht="15" hidden="1" outlineLevel="1" x14ac:dyDescent="0.25">
      <c r="A254" s="557" t="str">
        <f t="shared" si="46"/>
        <v>2</v>
      </c>
      <c r="C254" s="595" t="b">
        <f>B142="двухставочный"</f>
        <v>0</v>
      </c>
      <c r="D254" s="617" t="s">
        <v>897</v>
      </c>
      <c r="L254" s="615" t="s">
        <v>898</v>
      </c>
      <c r="M254" s="605" t="s">
        <v>899</v>
      </c>
      <c r="N254" s="570" t="s">
        <v>106</v>
      </c>
      <c r="O254" s="583"/>
      <c r="P254" s="583"/>
      <c r="Q254" s="583"/>
      <c r="R254" s="573">
        <v>0</v>
      </c>
      <c r="S254" s="583"/>
      <c r="T254" s="583"/>
      <c r="U254" s="583"/>
      <c r="V254" s="583"/>
      <c r="W254" s="583"/>
      <c r="X254" s="583"/>
      <c r="Y254" s="583"/>
      <c r="Z254" s="583"/>
      <c r="AA254" s="583"/>
      <c r="AB254" s="583"/>
      <c r="AC254" s="583"/>
      <c r="AD254" s="583"/>
      <c r="AE254" s="583"/>
      <c r="AF254" s="583"/>
      <c r="AG254" s="583"/>
      <c r="AH254" s="583"/>
      <c r="AI254" s="583"/>
      <c r="AJ254" s="583"/>
      <c r="AK254" s="583"/>
      <c r="AL254" s="583"/>
      <c r="AM254" s="583"/>
      <c r="AN254" s="574"/>
      <c r="AO254" s="574"/>
      <c r="AP254" s="574"/>
      <c r="AQ254" s="574"/>
      <c r="AR254" s="574"/>
      <c r="AS254" s="574"/>
      <c r="AT254" s="574"/>
      <c r="AU254" s="574"/>
      <c r="AV254" s="574"/>
      <c r="AW254" s="574"/>
      <c r="AX254" s="565"/>
      <c r="AY254" s="565"/>
      <c r="AZ254" s="565"/>
    </row>
    <row r="255" spans="1:52" s="590" customFormat="1" ht="11.25" outlineLevel="1" x14ac:dyDescent="0.2">
      <c r="A255" s="557" t="str">
        <f t="shared" si="46"/>
        <v>2</v>
      </c>
      <c r="B255" s="537" t="s">
        <v>900</v>
      </c>
      <c r="C255" s="537"/>
      <c r="D255" s="537" t="s">
        <v>901</v>
      </c>
      <c r="L255" s="591" t="s">
        <v>902</v>
      </c>
      <c r="M255" s="608" t="s">
        <v>903</v>
      </c>
      <c r="N255" s="593" t="s">
        <v>19</v>
      </c>
      <c r="O255" s="618">
        <v>0.99</v>
      </c>
      <c r="P255" s="618">
        <v>1.0145299999999999</v>
      </c>
      <c r="Q255" s="618">
        <v>1.0145299999999999</v>
      </c>
      <c r="R255" s="618">
        <v>0</v>
      </c>
      <c r="S255" s="618">
        <v>0.99249999999999994</v>
      </c>
      <c r="T255" s="618">
        <v>1.0145299999999999</v>
      </c>
      <c r="U255" s="618">
        <v>1.0145299999999999</v>
      </c>
      <c r="V255" s="618">
        <v>1.0145299999999999</v>
      </c>
      <c r="W255" s="618">
        <v>1.0145299999999999</v>
      </c>
      <c r="X255" s="618">
        <v>1.0145299999999999</v>
      </c>
      <c r="Y255" s="618">
        <v>0</v>
      </c>
      <c r="Z255" s="618">
        <v>0</v>
      </c>
      <c r="AA255" s="618">
        <v>0</v>
      </c>
      <c r="AB255" s="618">
        <v>0</v>
      </c>
      <c r="AC255" s="618">
        <v>0</v>
      </c>
      <c r="AD255" s="618">
        <v>1.0145299999999999</v>
      </c>
      <c r="AE255" s="618">
        <v>1.0145299999999999</v>
      </c>
      <c r="AF255" s="618">
        <v>1.0145299999999999</v>
      </c>
      <c r="AG255" s="618">
        <v>1.0145299999999999</v>
      </c>
      <c r="AH255" s="618">
        <v>1.0145299999999999</v>
      </c>
      <c r="AI255" s="618">
        <f>SUMIFS([12]Баланс!AH$16:AH$95,[12]Баланс!$A$16:$A$95,$A255,[12]Баланс!$B$16:$B$95,"ПО")</f>
        <v>0</v>
      </c>
      <c r="AJ255" s="618">
        <f>SUMIFS([12]Баланс!AI$16:AI$95,[12]Баланс!$A$16:$A$95,$A255,[12]Баланс!$B$16:$B$95,"ПО")</f>
        <v>0</v>
      </c>
      <c r="AK255" s="618">
        <f>SUMIFS([12]Баланс!AJ$16:AJ$95,[12]Баланс!$A$16:$A$95,$A255,[12]Баланс!$B$16:$B$95,"ПО")</f>
        <v>0</v>
      </c>
      <c r="AL255" s="618">
        <f>SUMIFS([12]Баланс!AK$16:AK$95,[12]Баланс!$A$16:$A$95,$A255,[12]Баланс!$B$16:$B$95,"ПО")</f>
        <v>0</v>
      </c>
      <c r="AM255" s="618">
        <f>SUMIFS([12]Баланс!AL$16:AL$95,[12]Баланс!$A$16:$A$95,$A255,[12]Баланс!$B$16:$B$95,"ПО")</f>
        <v>0</v>
      </c>
      <c r="AN255" s="576"/>
      <c r="AO255" s="576"/>
      <c r="AP255" s="576"/>
      <c r="AQ255" s="576"/>
      <c r="AR255" s="576"/>
      <c r="AS255" s="576"/>
      <c r="AT255" s="576"/>
      <c r="AU255" s="576"/>
      <c r="AV255" s="576"/>
      <c r="AW255" s="576"/>
      <c r="AX255" s="565"/>
      <c r="AY255" s="565"/>
      <c r="AZ255" s="565"/>
    </row>
    <row r="256" spans="1:52" ht="12.75" outlineLevel="1" x14ac:dyDescent="0.2">
      <c r="A256" s="557" t="str">
        <f t="shared" si="46"/>
        <v>2</v>
      </c>
      <c r="B256" s="537" t="s">
        <v>904</v>
      </c>
      <c r="D256" s="537" t="s">
        <v>905</v>
      </c>
      <c r="L256" s="568" t="s">
        <v>906</v>
      </c>
      <c r="M256" s="613" t="s">
        <v>907</v>
      </c>
      <c r="N256" s="570" t="s">
        <v>19</v>
      </c>
      <c r="O256" s="619">
        <v>0.495</v>
      </c>
      <c r="P256" s="619">
        <v>0.50726499999999997</v>
      </c>
      <c r="Q256" s="619">
        <v>0.50726499999999997</v>
      </c>
      <c r="R256" s="572">
        <v>0</v>
      </c>
      <c r="S256" s="619">
        <v>0.49624999999999997</v>
      </c>
      <c r="T256" s="619">
        <v>0.50726499999999997</v>
      </c>
      <c r="U256" s="619">
        <v>0.50726499999999997</v>
      </c>
      <c r="V256" s="619">
        <v>0.50726499999999997</v>
      </c>
      <c r="W256" s="619">
        <v>0.50726499999999997</v>
      </c>
      <c r="X256" s="619">
        <v>0.50726499999999997</v>
      </c>
      <c r="Y256" s="619">
        <v>0</v>
      </c>
      <c r="Z256" s="619">
        <v>0</v>
      </c>
      <c r="AA256" s="619">
        <v>0</v>
      </c>
      <c r="AB256" s="619">
        <v>0</v>
      </c>
      <c r="AC256" s="619">
        <v>0</v>
      </c>
      <c r="AD256" s="619">
        <v>0.50726499999999997</v>
      </c>
      <c r="AE256" s="619">
        <v>0.50726499999999997</v>
      </c>
      <c r="AF256" s="619">
        <v>0.50726499999999997</v>
      </c>
      <c r="AG256" s="619">
        <v>0.50726499999999997</v>
      </c>
      <c r="AH256" s="619">
        <v>0.50726499999999997</v>
      </c>
      <c r="AI256" s="619">
        <f t="shared" ref="AI256:AM256" si="59">AI255/2</f>
        <v>0</v>
      </c>
      <c r="AJ256" s="619">
        <f t="shared" si="59"/>
        <v>0</v>
      </c>
      <c r="AK256" s="619">
        <f t="shared" si="59"/>
        <v>0</v>
      </c>
      <c r="AL256" s="619">
        <f t="shared" si="59"/>
        <v>0</v>
      </c>
      <c r="AM256" s="619">
        <f t="shared" si="59"/>
        <v>0</v>
      </c>
      <c r="AN256" s="574"/>
      <c r="AO256" s="574"/>
      <c r="AP256" s="574"/>
      <c r="AQ256" s="574"/>
      <c r="AR256" s="574"/>
      <c r="AS256" s="574"/>
      <c r="AT256" s="574"/>
      <c r="AU256" s="574"/>
      <c r="AV256" s="574"/>
      <c r="AW256" s="574"/>
      <c r="AX256" s="565"/>
      <c r="AY256" s="565"/>
      <c r="AZ256" s="565"/>
    </row>
    <row r="257" spans="1:52" ht="12.75" outlineLevel="1" x14ac:dyDescent="0.2">
      <c r="A257" s="557" t="str">
        <f t="shared" si="46"/>
        <v>2</v>
      </c>
      <c r="B257" s="537" t="s">
        <v>908</v>
      </c>
      <c r="D257" s="537" t="s">
        <v>909</v>
      </c>
      <c r="L257" s="568" t="s">
        <v>910</v>
      </c>
      <c r="M257" s="613" t="s">
        <v>911</v>
      </c>
      <c r="N257" s="570" t="s">
        <v>912</v>
      </c>
      <c r="O257" s="609">
        <v>471.97</v>
      </c>
      <c r="P257" s="609">
        <v>317.39</v>
      </c>
      <c r="Q257" s="609">
        <v>418.05</v>
      </c>
      <c r="R257" s="573">
        <v>100.66000000000003</v>
      </c>
      <c r="S257" s="609">
        <v>471.97</v>
      </c>
      <c r="T257" s="609">
        <v>756.73</v>
      </c>
      <c r="U257" s="609">
        <v>779.13</v>
      </c>
      <c r="V257" s="609">
        <v>802.28</v>
      </c>
      <c r="W257" s="609">
        <v>826.02</v>
      </c>
      <c r="X257" s="609">
        <v>850.46</v>
      </c>
      <c r="Y257" s="609"/>
      <c r="Z257" s="609"/>
      <c r="AA257" s="609"/>
      <c r="AB257" s="609"/>
      <c r="AC257" s="609"/>
      <c r="AD257" s="609">
        <v>375.67</v>
      </c>
      <c r="AE257" s="609">
        <v>375.6709574267968</v>
      </c>
      <c r="AF257" s="609">
        <v>407.95</v>
      </c>
      <c r="AG257" s="609">
        <v>421.94153075808504</v>
      </c>
      <c r="AH257" s="609">
        <v>433.16378894660585</v>
      </c>
      <c r="AI257" s="609"/>
      <c r="AJ257" s="609"/>
      <c r="AK257" s="609"/>
      <c r="AL257" s="609"/>
      <c r="AM257" s="609"/>
      <c r="AN257" s="574"/>
      <c r="AO257" s="574"/>
      <c r="AP257" s="574"/>
      <c r="AQ257" s="574"/>
      <c r="AR257" s="574"/>
      <c r="AS257" s="574"/>
      <c r="AT257" s="574"/>
      <c r="AU257" s="574"/>
      <c r="AV257" s="574"/>
      <c r="AW257" s="574"/>
      <c r="AX257" s="565"/>
      <c r="AY257" s="565"/>
      <c r="AZ257" s="565"/>
    </row>
    <row r="258" spans="1:52" ht="12.75" outlineLevel="1" x14ac:dyDescent="0.2">
      <c r="A258" s="557" t="str">
        <f t="shared" si="46"/>
        <v>2</v>
      </c>
      <c r="B258" s="537" t="s">
        <v>913</v>
      </c>
      <c r="D258" s="537" t="s">
        <v>914</v>
      </c>
      <c r="L258" s="568" t="s">
        <v>915</v>
      </c>
      <c r="M258" s="613" t="s">
        <v>916</v>
      </c>
      <c r="N258" s="570" t="s">
        <v>19</v>
      </c>
      <c r="O258" s="620">
        <v>0.495</v>
      </c>
      <c r="P258" s="620">
        <v>0.50726499999999997</v>
      </c>
      <c r="Q258" s="620">
        <v>0.50726499999999997</v>
      </c>
      <c r="R258" s="572">
        <v>0</v>
      </c>
      <c r="S258" s="620">
        <v>0.49624999999999997</v>
      </c>
      <c r="T258" s="620">
        <v>0.50726499999999997</v>
      </c>
      <c r="U258" s="620">
        <v>0.50726499999999997</v>
      </c>
      <c r="V258" s="620">
        <v>0.50726499999999997</v>
      </c>
      <c r="W258" s="620">
        <v>0.50726499999999997</v>
      </c>
      <c r="X258" s="620">
        <v>0.50726499999999997</v>
      </c>
      <c r="Y258" s="620">
        <v>0</v>
      </c>
      <c r="Z258" s="620">
        <v>0</v>
      </c>
      <c r="AA258" s="620">
        <v>0</v>
      </c>
      <c r="AB258" s="620">
        <v>0</v>
      </c>
      <c r="AC258" s="620">
        <v>0</v>
      </c>
      <c r="AD258" s="620">
        <v>0.50726499999999997</v>
      </c>
      <c r="AE258" s="620">
        <v>0.50726499999999997</v>
      </c>
      <c r="AF258" s="620">
        <v>0.50726499999999997</v>
      </c>
      <c r="AG258" s="620">
        <v>0.50726499999999997</v>
      </c>
      <c r="AH258" s="620">
        <v>0.50726499999999997</v>
      </c>
      <c r="AI258" s="620">
        <f t="shared" ref="AI258:AM258" si="60">AI255-AI256</f>
        <v>0</v>
      </c>
      <c r="AJ258" s="620">
        <f t="shared" si="60"/>
        <v>0</v>
      </c>
      <c r="AK258" s="620">
        <f t="shared" si="60"/>
        <v>0</v>
      </c>
      <c r="AL258" s="620">
        <f t="shared" si="60"/>
        <v>0</v>
      </c>
      <c r="AM258" s="620">
        <f t="shared" si="60"/>
        <v>0</v>
      </c>
      <c r="AN258" s="574"/>
      <c r="AO258" s="574"/>
      <c r="AP258" s="574"/>
      <c r="AQ258" s="574"/>
      <c r="AR258" s="574"/>
      <c r="AS258" s="574"/>
      <c r="AT258" s="574"/>
      <c r="AU258" s="574"/>
      <c r="AV258" s="574"/>
      <c r="AW258" s="574"/>
      <c r="AX258" s="565"/>
      <c r="AY258" s="565"/>
      <c r="AZ258" s="565"/>
    </row>
    <row r="259" spans="1:52" ht="12.75" outlineLevel="1" x14ac:dyDescent="0.2">
      <c r="A259" s="557" t="str">
        <f t="shared" si="46"/>
        <v>2</v>
      </c>
      <c r="B259" s="537" t="s">
        <v>917</v>
      </c>
      <c r="D259" s="537" t="s">
        <v>918</v>
      </c>
      <c r="L259" s="568" t="s">
        <v>919</v>
      </c>
      <c r="M259" s="613" t="s">
        <v>920</v>
      </c>
      <c r="N259" s="570" t="s">
        <v>912</v>
      </c>
      <c r="O259" s="609">
        <v>471.97</v>
      </c>
      <c r="P259" s="609">
        <v>317.39359437374941</v>
      </c>
      <c r="Q259" s="609">
        <v>418.05158920879626</v>
      </c>
      <c r="R259" s="573">
        <v>100.65799483504685</v>
      </c>
      <c r="S259" s="609">
        <v>511.23395465994957</v>
      </c>
      <c r="T259" s="609">
        <v>756.73531494646772</v>
      </c>
      <c r="U259" s="609">
        <v>779.12221784021199</v>
      </c>
      <c r="V259" s="609">
        <v>802.28194867906018</v>
      </c>
      <c r="W259" s="609">
        <v>826.01947671695336</v>
      </c>
      <c r="X259" s="609">
        <v>850.46233958476807</v>
      </c>
      <c r="Y259" s="609">
        <v>0</v>
      </c>
      <c r="Z259" s="609">
        <v>0</v>
      </c>
      <c r="AA259" s="609">
        <v>0</v>
      </c>
      <c r="AB259" s="609">
        <v>0</v>
      </c>
      <c r="AC259" s="609">
        <v>0</v>
      </c>
      <c r="AD259" s="609">
        <v>375.6709574267968</v>
      </c>
      <c r="AE259" s="609">
        <v>407.95</v>
      </c>
      <c r="AF259" s="609">
        <v>421.94153075808504</v>
      </c>
      <c r="AG259" s="609">
        <v>433.16378894660585</v>
      </c>
      <c r="AH259" s="609">
        <v>469.68792100775727</v>
      </c>
      <c r="AI259" s="609">
        <f t="shared" ref="AI259:AM259" si="61">IF(AI258=0,0,(AI252-AI256*AI257)/AI258)</f>
        <v>0</v>
      </c>
      <c r="AJ259" s="609">
        <f t="shared" si="61"/>
        <v>0</v>
      </c>
      <c r="AK259" s="609">
        <f t="shared" si="61"/>
        <v>0</v>
      </c>
      <c r="AL259" s="609">
        <f t="shared" si="61"/>
        <v>0</v>
      </c>
      <c r="AM259" s="609">
        <f t="shared" si="61"/>
        <v>0</v>
      </c>
      <c r="AN259" s="574"/>
      <c r="AO259" s="574"/>
      <c r="AP259" s="574"/>
      <c r="AQ259" s="574"/>
      <c r="AR259" s="574"/>
      <c r="AS259" s="574"/>
      <c r="AT259" s="574"/>
      <c r="AU259" s="574"/>
      <c r="AV259" s="574"/>
      <c r="AW259" s="574"/>
      <c r="AX259" s="565"/>
      <c r="AY259" s="565"/>
      <c r="AZ259" s="565"/>
    </row>
    <row r="260" spans="1:52" ht="11.25" outlineLevel="1" x14ac:dyDescent="0.2">
      <c r="A260" s="557" t="str">
        <f t="shared" si="46"/>
        <v>2</v>
      </c>
      <c r="D260" s="537" t="s">
        <v>921</v>
      </c>
      <c r="L260" s="568" t="s">
        <v>922</v>
      </c>
      <c r="M260" s="569" t="s">
        <v>923</v>
      </c>
      <c r="N260" s="570" t="s">
        <v>24</v>
      </c>
      <c r="O260" s="587">
        <v>100</v>
      </c>
      <c r="P260" s="587">
        <v>100.00113247857507</v>
      </c>
      <c r="Q260" s="587">
        <v>100.00038014801966</v>
      </c>
      <c r="R260" s="574"/>
      <c r="S260" s="587">
        <v>108.31916322222801</v>
      </c>
      <c r="T260" s="587">
        <v>100.00070235704514</v>
      </c>
      <c r="U260" s="587">
        <v>99.999001173130537</v>
      </c>
      <c r="V260" s="587">
        <v>100.00024289263851</v>
      </c>
      <c r="W260" s="587">
        <v>99.999936650075469</v>
      </c>
      <c r="X260" s="587">
        <v>100.00027509639114</v>
      </c>
      <c r="Y260" s="587">
        <v>0</v>
      </c>
      <c r="Z260" s="587">
        <v>0</v>
      </c>
      <c r="AA260" s="587">
        <v>0</v>
      </c>
      <c r="AB260" s="587">
        <v>0</v>
      </c>
      <c r="AC260" s="587">
        <v>0</v>
      </c>
      <c r="AD260" s="587">
        <v>100.00025485846535</v>
      </c>
      <c r="AE260" s="587">
        <v>108.59237104574235</v>
      </c>
      <c r="AF260" s="587">
        <v>103.4297170628962</v>
      </c>
      <c r="AG260" s="587">
        <v>102.65967139294352</v>
      </c>
      <c r="AH260" s="587">
        <v>108.43194491164026</v>
      </c>
      <c r="AI260" s="587">
        <f t="shared" ref="AI260:AM260" si="62">IF(AI257=0,0,AI259/AI257*100)</f>
        <v>0</v>
      </c>
      <c r="AJ260" s="587">
        <f t="shared" si="62"/>
        <v>0</v>
      </c>
      <c r="AK260" s="587">
        <f t="shared" si="62"/>
        <v>0</v>
      </c>
      <c r="AL260" s="587">
        <f t="shared" si="62"/>
        <v>0</v>
      </c>
      <c r="AM260" s="587">
        <f t="shared" si="62"/>
        <v>0</v>
      </c>
      <c r="AN260" s="574"/>
      <c r="AO260" s="574"/>
      <c r="AP260" s="574"/>
      <c r="AQ260" s="574"/>
      <c r="AR260" s="574"/>
      <c r="AS260" s="574"/>
      <c r="AT260" s="574"/>
      <c r="AU260" s="574"/>
      <c r="AV260" s="574"/>
      <c r="AW260" s="574"/>
      <c r="AX260" s="565"/>
      <c r="AY260" s="565"/>
      <c r="AZ260" s="565"/>
    </row>
    <row r="261" spans="1:52" ht="11.25" outlineLevel="1" x14ac:dyDescent="0.2">
      <c r="A261" s="557" t="str">
        <f t="shared" si="46"/>
        <v>2</v>
      </c>
      <c r="D261" s="537" t="s">
        <v>924</v>
      </c>
      <c r="L261" s="568" t="s">
        <v>925</v>
      </c>
      <c r="M261" s="569" t="s">
        <v>926</v>
      </c>
      <c r="N261" s="570" t="s">
        <v>912</v>
      </c>
      <c r="O261" s="609">
        <v>471.97</v>
      </c>
      <c r="P261" s="609">
        <v>317.39179718687473</v>
      </c>
      <c r="Q261" s="609">
        <v>418.04579460439811</v>
      </c>
      <c r="R261" s="573">
        <v>100.65399741752339</v>
      </c>
      <c r="S261" s="609">
        <v>491.59697732997483</v>
      </c>
      <c r="T261" s="609">
        <v>756.73265747323387</v>
      </c>
      <c r="U261" s="609">
        <v>779.12610892010605</v>
      </c>
      <c r="V261" s="609">
        <v>802.28097433953008</v>
      </c>
      <c r="W261" s="609">
        <v>826.01973835847662</v>
      </c>
      <c r="X261" s="609">
        <v>850.46116979238411</v>
      </c>
      <c r="Y261" s="609">
        <v>0</v>
      </c>
      <c r="Z261" s="609">
        <v>0</v>
      </c>
      <c r="AA261" s="609">
        <v>0</v>
      </c>
      <c r="AB261" s="609">
        <v>0</v>
      </c>
      <c r="AC261" s="609">
        <v>0</v>
      </c>
      <c r="AD261" s="609">
        <v>375.67047871339838</v>
      </c>
      <c r="AE261" s="609">
        <v>391.81270367775079</v>
      </c>
      <c r="AF261" s="609">
        <v>414.95076537904248</v>
      </c>
      <c r="AG261" s="609">
        <v>427.55265985234541</v>
      </c>
      <c r="AH261" s="609">
        <v>451.42085497718153</v>
      </c>
      <c r="AI261" s="609">
        <f t="shared" ref="AI261:AM261" si="63">IF(AI255=0,0,AI252/AI255)</f>
        <v>0</v>
      </c>
      <c r="AJ261" s="609">
        <f t="shared" si="63"/>
        <v>0</v>
      </c>
      <c r="AK261" s="609">
        <f t="shared" si="63"/>
        <v>0</v>
      </c>
      <c r="AL261" s="609">
        <f t="shared" si="63"/>
        <v>0</v>
      </c>
      <c r="AM261" s="609">
        <f t="shared" si="63"/>
        <v>0</v>
      </c>
      <c r="AN261" s="574"/>
      <c r="AO261" s="574"/>
      <c r="AP261" s="574"/>
      <c r="AQ261" s="574"/>
      <c r="AR261" s="574"/>
      <c r="AS261" s="574"/>
      <c r="AT261" s="574"/>
      <c r="AU261" s="574"/>
      <c r="AV261" s="574"/>
      <c r="AW261" s="574"/>
      <c r="AX261" s="565"/>
      <c r="AY261" s="565"/>
      <c r="AZ261" s="565"/>
    </row>
    <row r="262" spans="1:52" s="590" customFormat="1" ht="11.25" outlineLevel="1" x14ac:dyDescent="0.2">
      <c r="A262" s="557" t="str">
        <f t="shared" si="46"/>
        <v>2</v>
      </c>
      <c r="C262" s="537"/>
      <c r="D262" s="537" t="s">
        <v>927</v>
      </c>
      <c r="L262" s="591" t="s">
        <v>928</v>
      </c>
      <c r="M262" s="608" t="s">
        <v>929</v>
      </c>
      <c r="N262" s="593" t="s">
        <v>106</v>
      </c>
      <c r="O262" s="616">
        <v>279.16535353535352</v>
      </c>
      <c r="P262" s="616">
        <v>184.25546002089638</v>
      </c>
      <c r="Q262" s="616">
        <v>242.68812514169124</v>
      </c>
      <c r="R262" s="594">
        <v>0</v>
      </c>
      <c r="S262" s="616">
        <v>291.02541057934508</v>
      </c>
      <c r="T262" s="616">
        <v>439.30600964293643</v>
      </c>
      <c r="U262" s="616">
        <v>452.30608001138916</v>
      </c>
      <c r="V262" s="616">
        <v>465.74817403332736</v>
      </c>
      <c r="W262" s="616">
        <v>479.52923870924644</v>
      </c>
      <c r="X262" s="616">
        <v>493.71822289957277</v>
      </c>
      <c r="Y262" s="616">
        <v>0</v>
      </c>
      <c r="Z262" s="616">
        <v>0</v>
      </c>
      <c r="AA262" s="616">
        <v>0</v>
      </c>
      <c r="AB262" s="616">
        <v>0</v>
      </c>
      <c r="AC262" s="616">
        <v>0</v>
      </c>
      <c r="AD262" s="616">
        <v>218.08798300748916</v>
      </c>
      <c r="AE262" s="616">
        <v>227.46483416604465</v>
      </c>
      <c r="AF262" s="616">
        <v>240.89136782549554</v>
      </c>
      <c r="AG262" s="616">
        <v>248.20714562408207</v>
      </c>
      <c r="AH262" s="616">
        <v>262.06334893990316</v>
      </c>
      <c r="AI262" s="616">
        <f t="shared" ref="AI262:AM262" si="64">IF(AI255=0,0,AI252/AI255*AI263)</f>
        <v>0</v>
      </c>
      <c r="AJ262" s="616">
        <f t="shared" si="64"/>
        <v>0</v>
      </c>
      <c r="AK262" s="616">
        <f t="shared" si="64"/>
        <v>0</v>
      </c>
      <c r="AL262" s="616">
        <f t="shared" si="64"/>
        <v>0</v>
      </c>
      <c r="AM262" s="616">
        <f t="shared" si="64"/>
        <v>0</v>
      </c>
      <c r="AN262" s="563">
        <f>IF(S262=0,0,(AD262-S262)/S262*100)</f>
        <v>-25.062219627715386</v>
      </c>
      <c r="AO262" s="563">
        <f>IF(AD262=0,0,(AE262-AD262)/AD262*100)</f>
        <v>4.2995725987495117</v>
      </c>
      <c r="AP262" s="563">
        <f>IF(AE262=0,0,(AF262-AE262)/AE262*100)</f>
        <v>5.9026854452806488</v>
      </c>
      <c r="AQ262" s="563">
        <f>IF(AF262=0,0,(AG262-AF262)/AF262*100)</f>
        <v>3.0369613758373322</v>
      </c>
      <c r="AR262" s="563">
        <f t="shared" ref="AR262:AW262" si="65">IF(AG262=0,0,(AH262-AG262)/AG262*100)</f>
        <v>5.5825158784134157</v>
      </c>
      <c r="AS262" s="563">
        <f t="shared" si="65"/>
        <v>-100</v>
      </c>
      <c r="AT262" s="563">
        <f t="shared" si="65"/>
        <v>0</v>
      </c>
      <c r="AU262" s="563">
        <f t="shared" si="65"/>
        <v>0</v>
      </c>
      <c r="AV262" s="563">
        <f t="shared" si="65"/>
        <v>0</v>
      </c>
      <c r="AW262" s="563">
        <f t="shared" si="65"/>
        <v>0</v>
      </c>
      <c r="AX262" s="565"/>
      <c r="AY262" s="565"/>
      <c r="AZ262" s="565"/>
    </row>
    <row r="263" spans="1:52" s="590" customFormat="1" ht="11.25" outlineLevel="1" x14ac:dyDescent="0.2">
      <c r="A263" s="557" t="str">
        <f t="shared" si="46"/>
        <v>2</v>
      </c>
      <c r="B263" s="537" t="s">
        <v>930</v>
      </c>
      <c r="C263" s="537"/>
      <c r="D263" s="537" t="s">
        <v>931</v>
      </c>
      <c r="L263" s="591" t="s">
        <v>932</v>
      </c>
      <c r="M263" s="608" t="s">
        <v>933</v>
      </c>
      <c r="N263" s="593" t="s">
        <v>19</v>
      </c>
      <c r="O263" s="618">
        <v>0.59</v>
      </c>
      <c r="P263" s="618">
        <v>0.58052999999999999</v>
      </c>
      <c r="Q263" s="618">
        <v>0.58052999999999999</v>
      </c>
      <c r="R263" s="618">
        <v>0</v>
      </c>
      <c r="S263" s="618">
        <v>0.59199999999999997</v>
      </c>
      <c r="T263" s="618">
        <v>0.58052999999999999</v>
      </c>
      <c r="U263" s="618">
        <v>0.58052999999999999</v>
      </c>
      <c r="V263" s="618">
        <v>0.58052999999999999</v>
      </c>
      <c r="W263" s="618">
        <v>0.58052999999999999</v>
      </c>
      <c r="X263" s="618">
        <v>0.58052999999999999</v>
      </c>
      <c r="Y263" s="618">
        <v>0</v>
      </c>
      <c r="Z263" s="618">
        <v>0</v>
      </c>
      <c r="AA263" s="618">
        <v>0</v>
      </c>
      <c r="AB263" s="618">
        <v>0</v>
      </c>
      <c r="AC263" s="618">
        <v>0</v>
      </c>
      <c r="AD263" s="618">
        <v>0.58052999999999999</v>
      </c>
      <c r="AE263" s="618">
        <v>0.58052999999999999</v>
      </c>
      <c r="AF263" s="618">
        <v>0.58052999999999999</v>
      </c>
      <c r="AG263" s="618">
        <v>0.58052999999999999</v>
      </c>
      <c r="AH263" s="618">
        <v>0.58052999999999999</v>
      </c>
      <c r="AI263" s="618">
        <f>SUMIFS([12]Баланс!AH$16:AH$95,[12]Баланс!$A$16:$A$95,$A263,[12]Баланс!$B$16:$B$95,"население")</f>
        <v>0</v>
      </c>
      <c r="AJ263" s="618">
        <f>SUMIFS([12]Баланс!AI$16:AI$95,[12]Баланс!$A$16:$A$95,$A263,[12]Баланс!$B$16:$B$95,"население")</f>
        <v>0</v>
      </c>
      <c r="AK263" s="618">
        <f>SUMIFS([12]Баланс!AJ$16:AJ$95,[12]Баланс!$A$16:$A$95,$A263,[12]Баланс!$B$16:$B$95,"население")</f>
        <v>0</v>
      </c>
      <c r="AL263" s="618">
        <f>SUMIFS([12]Баланс!AK$16:AK$95,[12]Баланс!$A$16:$A$95,$A263,[12]Баланс!$B$16:$B$95,"население")</f>
        <v>0</v>
      </c>
      <c r="AM263" s="618">
        <f>SUMIFS([12]Баланс!AL$16:AL$95,[12]Баланс!$A$16:$A$95,$A263,[12]Баланс!$B$16:$B$95,"население")</f>
        <v>0</v>
      </c>
      <c r="AN263" s="576"/>
      <c r="AO263" s="576"/>
      <c r="AP263" s="576"/>
      <c r="AQ263" s="576"/>
      <c r="AR263" s="576"/>
      <c r="AS263" s="576"/>
      <c r="AT263" s="576"/>
      <c r="AU263" s="576"/>
      <c r="AV263" s="576"/>
      <c r="AW263" s="576"/>
      <c r="AX263" s="565"/>
      <c r="AY263" s="565"/>
      <c r="AZ263" s="565"/>
    </row>
    <row r="264" spans="1:52" ht="12.75" outlineLevel="1" x14ac:dyDescent="0.2">
      <c r="A264" s="557" t="str">
        <f t="shared" si="46"/>
        <v>2</v>
      </c>
      <c r="B264" s="537" t="s">
        <v>934</v>
      </c>
      <c r="D264" s="537" t="s">
        <v>935</v>
      </c>
      <c r="L264" s="621" t="s">
        <v>936</v>
      </c>
      <c r="M264" s="613" t="s">
        <v>937</v>
      </c>
      <c r="N264" s="622" t="s">
        <v>19</v>
      </c>
      <c r="O264" s="619">
        <v>0.29499999999999998</v>
      </c>
      <c r="P264" s="619">
        <v>0.290265</v>
      </c>
      <c r="Q264" s="619">
        <v>0.290265</v>
      </c>
      <c r="R264" s="572">
        <v>0</v>
      </c>
      <c r="S264" s="619">
        <v>0.29599999999999999</v>
      </c>
      <c r="T264" s="619">
        <v>0.290265</v>
      </c>
      <c r="U264" s="619">
        <v>0.290265</v>
      </c>
      <c r="V264" s="619">
        <v>0.290265</v>
      </c>
      <c r="W264" s="619">
        <v>0.290265</v>
      </c>
      <c r="X264" s="619">
        <v>0.290265</v>
      </c>
      <c r="Y264" s="619">
        <v>0</v>
      </c>
      <c r="Z264" s="619">
        <v>0</v>
      </c>
      <c r="AA264" s="619">
        <v>0</v>
      </c>
      <c r="AB264" s="619">
        <v>0</v>
      </c>
      <c r="AC264" s="619">
        <v>0</v>
      </c>
      <c r="AD264" s="619">
        <v>0.290265</v>
      </c>
      <c r="AE264" s="619">
        <v>0.290265</v>
      </c>
      <c r="AF264" s="619">
        <v>0.290265</v>
      </c>
      <c r="AG264" s="619">
        <v>0.290265</v>
      </c>
      <c r="AH264" s="619">
        <v>0.290265</v>
      </c>
      <c r="AI264" s="619">
        <f t="shared" ref="AI264:AM264" si="66">AI263/2</f>
        <v>0</v>
      </c>
      <c r="AJ264" s="619">
        <f t="shared" si="66"/>
        <v>0</v>
      </c>
      <c r="AK264" s="619">
        <f t="shared" si="66"/>
        <v>0</v>
      </c>
      <c r="AL264" s="619">
        <f t="shared" si="66"/>
        <v>0</v>
      </c>
      <c r="AM264" s="619">
        <f t="shared" si="66"/>
        <v>0</v>
      </c>
      <c r="AN264" s="574"/>
      <c r="AO264" s="574"/>
      <c r="AP264" s="574"/>
      <c r="AQ264" s="574"/>
      <c r="AR264" s="574"/>
      <c r="AS264" s="574"/>
      <c r="AT264" s="574"/>
      <c r="AU264" s="574"/>
      <c r="AV264" s="574"/>
      <c r="AW264" s="574"/>
      <c r="AX264" s="565"/>
      <c r="AY264" s="565"/>
      <c r="AZ264" s="565"/>
    </row>
    <row r="265" spans="1:52" ht="12.75" outlineLevel="1" x14ac:dyDescent="0.2">
      <c r="A265" s="557" t="str">
        <f t="shared" si="46"/>
        <v>2</v>
      </c>
      <c r="B265" s="537" t="s">
        <v>938</v>
      </c>
      <c r="D265" s="537" t="s">
        <v>939</v>
      </c>
      <c r="L265" s="621" t="s">
        <v>940</v>
      </c>
      <c r="M265" s="613" t="s">
        <v>941</v>
      </c>
      <c r="N265" s="622" t="s">
        <v>912</v>
      </c>
      <c r="O265" s="609">
        <v>471.97</v>
      </c>
      <c r="P265" s="609">
        <v>317.39</v>
      </c>
      <c r="Q265" s="609">
        <v>418.05</v>
      </c>
      <c r="R265" s="573">
        <v>100.66000000000003</v>
      </c>
      <c r="S265" s="609">
        <v>471.97</v>
      </c>
      <c r="T265" s="609">
        <v>756.73</v>
      </c>
      <c r="U265" s="609">
        <v>779.13</v>
      </c>
      <c r="V265" s="609">
        <v>802.28</v>
      </c>
      <c r="W265" s="609">
        <v>826.02</v>
      </c>
      <c r="X265" s="609">
        <v>850.46</v>
      </c>
      <c r="Y265" s="609">
        <v>0</v>
      </c>
      <c r="Z265" s="609">
        <v>0</v>
      </c>
      <c r="AA265" s="609">
        <v>0</v>
      </c>
      <c r="AB265" s="609">
        <v>0</v>
      </c>
      <c r="AC265" s="609">
        <v>0</v>
      </c>
      <c r="AD265" s="609">
        <v>394.45350000000002</v>
      </c>
      <c r="AE265" s="609">
        <v>394.45450529813667</v>
      </c>
      <c r="AF265" s="609">
        <v>428.34750000000003</v>
      </c>
      <c r="AG265" s="609">
        <v>443.03860729598932</v>
      </c>
      <c r="AH265" s="609">
        <v>454.82197839393615</v>
      </c>
      <c r="AI265" s="609">
        <f t="shared" ref="AI265:AM265" si="67">IF(AI263=0,0,AI257*IF(plat_nds="да",1.2,1) )</f>
        <v>0</v>
      </c>
      <c r="AJ265" s="609">
        <f t="shared" si="67"/>
        <v>0</v>
      </c>
      <c r="AK265" s="609">
        <f t="shared" si="67"/>
        <v>0</v>
      </c>
      <c r="AL265" s="609">
        <f t="shared" si="67"/>
        <v>0</v>
      </c>
      <c r="AM265" s="609">
        <f t="shared" si="67"/>
        <v>0</v>
      </c>
      <c r="AN265" s="574"/>
      <c r="AO265" s="574"/>
      <c r="AP265" s="574"/>
      <c r="AQ265" s="574"/>
      <c r="AR265" s="574"/>
      <c r="AS265" s="574"/>
      <c r="AT265" s="574"/>
      <c r="AU265" s="574"/>
      <c r="AV265" s="574"/>
      <c r="AW265" s="574"/>
      <c r="AX265" s="565"/>
      <c r="AY265" s="565"/>
      <c r="AZ265" s="565"/>
    </row>
    <row r="266" spans="1:52" ht="12.75" outlineLevel="1" x14ac:dyDescent="0.2">
      <c r="A266" s="557" t="str">
        <f t="shared" si="46"/>
        <v>2</v>
      </c>
      <c r="B266" s="537" t="s">
        <v>942</v>
      </c>
      <c r="D266" s="537" t="s">
        <v>943</v>
      </c>
      <c r="L266" s="621" t="s">
        <v>944</v>
      </c>
      <c r="M266" s="613" t="s">
        <v>945</v>
      </c>
      <c r="N266" s="622" t="s">
        <v>19</v>
      </c>
      <c r="O266" s="620">
        <v>0.29499999999999998</v>
      </c>
      <c r="P266" s="620">
        <v>0.290265</v>
      </c>
      <c r="Q266" s="620">
        <v>0.290265</v>
      </c>
      <c r="R266" s="572">
        <v>0</v>
      </c>
      <c r="S266" s="620">
        <v>0.29599999999999999</v>
      </c>
      <c r="T266" s="620">
        <v>0.290265</v>
      </c>
      <c r="U266" s="620">
        <v>0.290265</v>
      </c>
      <c r="V266" s="620">
        <v>0.290265</v>
      </c>
      <c r="W266" s="620">
        <v>0.290265</v>
      </c>
      <c r="X266" s="620">
        <v>0.290265</v>
      </c>
      <c r="Y266" s="620">
        <v>0</v>
      </c>
      <c r="Z266" s="620">
        <v>0</v>
      </c>
      <c r="AA266" s="620">
        <v>0</v>
      </c>
      <c r="AB266" s="620">
        <v>0</v>
      </c>
      <c r="AC266" s="620">
        <v>0</v>
      </c>
      <c r="AD266" s="620">
        <v>0.290265</v>
      </c>
      <c r="AE266" s="620">
        <v>0.290265</v>
      </c>
      <c r="AF266" s="620">
        <v>0.290265</v>
      </c>
      <c r="AG266" s="620">
        <v>0.290265</v>
      </c>
      <c r="AH266" s="620">
        <v>0.290265</v>
      </c>
      <c r="AI266" s="620">
        <f t="shared" ref="AI266:AM266" si="68">AI263-AI264</f>
        <v>0</v>
      </c>
      <c r="AJ266" s="620">
        <f t="shared" si="68"/>
        <v>0</v>
      </c>
      <c r="AK266" s="620">
        <f t="shared" si="68"/>
        <v>0</v>
      </c>
      <c r="AL266" s="620">
        <f t="shared" si="68"/>
        <v>0</v>
      </c>
      <c r="AM266" s="620">
        <f t="shared" si="68"/>
        <v>0</v>
      </c>
      <c r="AN266" s="574"/>
      <c r="AO266" s="574"/>
      <c r="AP266" s="574"/>
      <c r="AQ266" s="574"/>
      <c r="AR266" s="574"/>
      <c r="AS266" s="574"/>
      <c r="AT266" s="574"/>
      <c r="AU266" s="574"/>
      <c r="AV266" s="574"/>
      <c r="AW266" s="574"/>
      <c r="AX266" s="565"/>
      <c r="AY266" s="565"/>
      <c r="AZ266" s="565"/>
    </row>
    <row r="267" spans="1:52" ht="12.75" outlineLevel="1" x14ac:dyDescent="0.2">
      <c r="A267" s="557" t="str">
        <f t="shared" si="46"/>
        <v>2</v>
      </c>
      <c r="B267" s="537" t="s">
        <v>946</v>
      </c>
      <c r="D267" s="537" t="s">
        <v>947</v>
      </c>
      <c r="L267" s="621" t="s">
        <v>948</v>
      </c>
      <c r="M267" s="613" t="s">
        <v>949</v>
      </c>
      <c r="N267" s="622" t="s">
        <v>912</v>
      </c>
      <c r="O267" s="609">
        <v>471.97</v>
      </c>
      <c r="P267" s="609">
        <v>317.39359437374941</v>
      </c>
      <c r="Q267" s="609">
        <v>418.05158920879626</v>
      </c>
      <c r="R267" s="573">
        <v>100.65799483504685</v>
      </c>
      <c r="S267" s="609">
        <v>511.23395465994957</v>
      </c>
      <c r="T267" s="609">
        <v>756.73531494646772</v>
      </c>
      <c r="U267" s="609">
        <v>779.12221784021199</v>
      </c>
      <c r="V267" s="609">
        <v>802.28194867906018</v>
      </c>
      <c r="W267" s="609">
        <v>826.01947671695336</v>
      </c>
      <c r="X267" s="609">
        <v>850.46233958476807</v>
      </c>
      <c r="Y267" s="609">
        <v>0</v>
      </c>
      <c r="Z267" s="609">
        <v>0</v>
      </c>
      <c r="AA267" s="609">
        <v>0</v>
      </c>
      <c r="AB267" s="609">
        <v>0</v>
      </c>
      <c r="AC267" s="609">
        <v>0</v>
      </c>
      <c r="AD267" s="609">
        <v>394.45450529813667</v>
      </c>
      <c r="AE267" s="609">
        <v>428.34750000000003</v>
      </c>
      <c r="AF267" s="609">
        <v>443.03860729598932</v>
      </c>
      <c r="AG267" s="609">
        <v>454.82197839393615</v>
      </c>
      <c r="AH267" s="609">
        <v>493.17231705814515</v>
      </c>
      <c r="AI267" s="609">
        <f t="shared" ref="AI267:AM267" si="69">IF(AI263=0,0,AI259*IF(plat_nds="да",1.2,1) )</f>
        <v>0</v>
      </c>
      <c r="AJ267" s="609">
        <f t="shared" si="69"/>
        <v>0</v>
      </c>
      <c r="AK267" s="609">
        <f t="shared" si="69"/>
        <v>0</v>
      </c>
      <c r="AL267" s="609">
        <f t="shared" si="69"/>
        <v>0</v>
      </c>
      <c r="AM267" s="609">
        <f t="shared" si="69"/>
        <v>0</v>
      </c>
      <c r="AN267" s="574"/>
      <c r="AO267" s="574"/>
      <c r="AP267" s="574"/>
      <c r="AQ267" s="574"/>
      <c r="AR267" s="574"/>
      <c r="AS267" s="574"/>
      <c r="AT267" s="574"/>
      <c r="AU267" s="574"/>
      <c r="AV267" s="574"/>
      <c r="AW267" s="574"/>
      <c r="AX267" s="565"/>
      <c r="AY267" s="565"/>
      <c r="AZ267" s="565"/>
    </row>
    <row r="269" spans="1:52" ht="15" customHeight="1" x14ac:dyDescent="0.2">
      <c r="L269" s="626" t="s">
        <v>950</v>
      </c>
      <c r="M269" s="626"/>
      <c r="N269" s="626"/>
      <c r="O269" s="626"/>
      <c r="P269" s="626"/>
      <c r="Q269" s="626"/>
      <c r="R269" s="626"/>
      <c r="S269" s="626"/>
      <c r="T269" s="626"/>
      <c r="U269" s="626"/>
      <c r="V269" s="626"/>
      <c r="W269" s="626"/>
      <c r="X269" s="626"/>
      <c r="Y269" s="626"/>
      <c r="Z269" s="626"/>
      <c r="AA269" s="626"/>
      <c r="AB269" s="626"/>
      <c r="AC269" s="626"/>
      <c r="AD269" s="626"/>
      <c r="AE269" s="626"/>
      <c r="AF269" s="626"/>
      <c r="AG269" s="626"/>
      <c r="AH269" s="626"/>
      <c r="AI269" s="626"/>
      <c r="AJ269" s="626"/>
      <c r="AK269" s="626"/>
      <c r="AL269" s="626"/>
      <c r="AM269" s="626"/>
      <c r="AN269" s="626"/>
      <c r="AO269" s="626"/>
      <c r="AP269" s="626"/>
      <c r="AQ269" s="626"/>
      <c r="AR269" s="626"/>
      <c r="AS269" s="626"/>
      <c r="AT269" s="626"/>
      <c r="AU269" s="626"/>
      <c r="AV269" s="626"/>
      <c r="AW269" s="626"/>
      <c r="AX269" s="626"/>
      <c r="AY269" s="626"/>
      <c r="AZ269" s="626"/>
    </row>
    <row r="270" spans="1:52" ht="15" customHeight="1" x14ac:dyDescent="0.2">
      <c r="K270" s="623"/>
      <c r="L270" s="627"/>
      <c r="M270" s="628"/>
      <c r="N270" s="628"/>
      <c r="O270" s="628"/>
      <c r="P270" s="628"/>
      <c r="Q270" s="628"/>
      <c r="R270" s="628"/>
      <c r="S270" s="628"/>
      <c r="T270" s="628"/>
      <c r="U270" s="628"/>
      <c r="V270" s="628"/>
      <c r="W270" s="628"/>
      <c r="X270" s="628"/>
      <c r="Y270" s="628"/>
      <c r="Z270" s="628"/>
      <c r="AA270" s="628"/>
      <c r="AB270" s="628"/>
      <c r="AC270" s="628"/>
      <c r="AD270" s="628"/>
      <c r="AE270" s="628"/>
      <c r="AF270" s="628"/>
      <c r="AG270" s="628"/>
      <c r="AH270" s="628"/>
      <c r="AI270" s="628"/>
      <c r="AJ270" s="628"/>
      <c r="AK270" s="628"/>
      <c r="AL270" s="628"/>
      <c r="AM270" s="628"/>
      <c r="AN270" s="628"/>
      <c r="AO270" s="628"/>
      <c r="AP270" s="628"/>
      <c r="AQ270" s="628"/>
      <c r="AR270" s="628"/>
      <c r="AS270" s="628"/>
      <c r="AT270" s="628"/>
      <c r="AU270" s="628"/>
      <c r="AV270" s="628"/>
      <c r="AW270" s="628"/>
      <c r="AX270" s="628"/>
      <c r="AY270" s="628"/>
      <c r="AZ270" s="628"/>
    </row>
    <row r="271" spans="1:52" ht="15" customHeight="1" x14ac:dyDescent="0.2">
      <c r="L271" s="629" t="s">
        <v>951</v>
      </c>
      <c r="M271" s="630"/>
      <c r="N271" s="624"/>
      <c r="O271" s="624"/>
      <c r="P271" s="624"/>
      <c r="Q271" s="624"/>
      <c r="R271" s="624"/>
      <c r="S271" s="624"/>
      <c r="T271" s="624"/>
      <c r="U271" s="624"/>
      <c r="V271" s="624"/>
      <c r="W271" s="624"/>
      <c r="X271" s="624"/>
      <c r="Y271" s="624"/>
      <c r="Z271" s="624"/>
      <c r="AA271" s="624"/>
      <c r="AB271" s="624"/>
      <c r="AC271" s="624"/>
      <c r="AD271" s="624"/>
      <c r="AE271" s="624"/>
      <c r="AF271" s="624"/>
      <c r="AG271" s="624"/>
      <c r="AH271" s="624"/>
      <c r="AI271" s="624"/>
      <c r="AJ271" s="624"/>
      <c r="AK271" s="624"/>
      <c r="AL271" s="624"/>
      <c r="AM271" s="624"/>
      <c r="AN271" s="624"/>
      <c r="AO271" s="624"/>
      <c r="AP271" s="624"/>
      <c r="AQ271" s="624"/>
      <c r="AR271" s="624"/>
      <c r="AS271" s="624"/>
      <c r="AT271" s="624"/>
      <c r="AU271" s="624"/>
      <c r="AV271" s="624"/>
      <c r="AW271" s="624"/>
      <c r="AX271" s="624"/>
      <c r="AY271" s="624"/>
      <c r="AZ271" s="625"/>
    </row>
  </sheetData>
  <mergeCells count="10">
    <mergeCell ref="L269:AZ269"/>
    <mergeCell ref="L270:AZ270"/>
    <mergeCell ref="L271:M271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AX17:AZ65 AX67:AZ141 AX143:AZ191 AX193:AZ267" xr:uid="{772432AD-536C-4071-86A7-20005705F191}">
      <formula1>900</formula1>
    </dataValidation>
    <dataValidation type="decimal" allowBlank="1" showErrorMessage="1" errorTitle="Ошибка" error="Допускается ввод только действительных чисел!" sqref="S138:AM141 S87:AM87 O87:Q87 AD94:AD96 S98:AM100 O98:Q100 O90:Q90 S108:AM123 S74:AM75 O74:Q75 AE25:AM27 S90:AM90 AD37:AD38 O127:Q128 O37:Q38 AE52:AM63 O63:Q63 O27:Q27 S29:AM35 O18:Q18 S127:AM128 O21:Q23 AD27 S63:T63 S37:T38 U37:AC41 S27:T27 S18:T18 AD18 AE37:AM41 AE44:AM50 S21:AM23 U25:AC27 U52:AC53 U62:AC63 O94:Q96 O130:Q135 S130:AM135 O29:Q35 AD63 O108:Q123 O92:Q92 S94:T96 S92:T92 U92:AC96 AE92:AM96 AD92 O138:Q141 S264:AM267 S213:AM213 O213:Q213 AD220:AD222 S224:AM226 O224:Q226 O216:Q216 S234:AM249 S200:AM201 O200:Q201 AE151:AM153 S216:AM216 AD163:AD164 O253:Q254 O163:Q164 AE178:AM189 O189:Q189 O153:Q153 S155:AM161 O144:Q144 S253:AM254 O147:Q149 AD153 S189:T189 S163:T164 U163:AC167 S153:T153 S144:T144 AD144 AE163:AM167 AE170:AM176 S147:AM149 U151:AC153 U178:AC179 U188:AC189 O220:Q222 O256:Q261 S256:AM261 O155:Q161 AD189 O234:Q249 O218:Q218 S220:T222 S218:T218 U218:AC222 AE218:AM222 AD218 O264:Q267" xr:uid="{D9168B27-39FD-4515-93CF-072C9DA984E9}">
      <formula1>-9.99999999999999E+23</formula1>
      <formula2>9.99999999999999E+23</formula2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1182F-DFA5-4466-B329-17EF9821C9A2}">
  <sheetPr codeName="Лист1">
    <tabColor indexed="31"/>
    <outlinePr summaryBelow="0"/>
    <pageSetUpPr fitToPage="1"/>
  </sheetPr>
  <dimension ref="E1:BK245"/>
  <sheetViews>
    <sheetView showGridLines="0" topLeftCell="D7" zoomScale="60" zoomScaleNormal="60" workbookViewId="0">
      <pane xSplit="2" ySplit="8" topLeftCell="F16" activePane="bottomRight" state="frozen"/>
      <selection activeCell="D7" sqref="D7"/>
      <selection pane="topRight" activeCell="F7" sqref="F7"/>
      <selection pane="bottomLeft" activeCell="D15" sqref="D15"/>
      <selection pane="bottomRight" activeCell="T178" sqref="T178"/>
    </sheetView>
  </sheetViews>
  <sheetFormatPr defaultRowHeight="15.75" outlineLevelRow="4" outlineLevelCol="3" x14ac:dyDescent="0.25"/>
  <cols>
    <col min="1" max="3" width="0" style="6" hidden="1" customWidth="1"/>
    <col min="4" max="4" width="4.7109375" style="6" customWidth="1"/>
    <col min="5" max="5" width="9.42578125" style="32" customWidth="1"/>
    <col min="6" max="6" width="74.42578125" style="33" customWidth="1"/>
    <col min="7" max="7" width="12" style="32" bestFit="1" customWidth="1"/>
    <col min="8" max="8" width="16.5703125" style="32" customWidth="1" outlineLevel="1"/>
    <col min="9" max="12" width="16.5703125" style="32" hidden="1" customWidth="1" outlineLevel="2"/>
    <col min="13" max="13" width="24.28515625" style="32" customWidth="1"/>
    <col min="14" max="14" width="19.85546875" style="32" customWidth="1"/>
    <col min="15" max="15" width="22.7109375" style="32" customWidth="1"/>
    <col min="16" max="16" width="22.140625" style="32" customWidth="1"/>
    <col min="17" max="17" width="13.7109375" style="32" hidden="1" customWidth="1"/>
    <col min="18" max="18" width="21.140625" style="192" customWidth="1"/>
    <col min="19" max="19" width="21.140625" style="207" customWidth="1"/>
    <col min="20" max="20" width="17.42578125" style="32" customWidth="1" outlineLevel="1"/>
    <col min="21" max="21" width="20.5703125" style="32" customWidth="1" outlineLevel="1"/>
    <col min="22" max="22" width="20.7109375" style="32" customWidth="1"/>
    <col min="23" max="23" width="22" style="32" customWidth="1"/>
    <col min="24" max="24" width="13.7109375" style="32" hidden="1" customWidth="1" outlineLevel="1"/>
    <col min="25" max="26" width="13.7109375" style="32" hidden="1" customWidth="1" outlineLevel="3"/>
    <col min="27" max="27" width="13.7109375" style="32" hidden="1" customWidth="1" outlineLevel="2"/>
    <col min="28" max="28" width="23.140625" style="32" customWidth="1" collapsed="1"/>
    <col min="29" max="29" width="13.7109375" style="32" hidden="1" customWidth="1" outlineLevel="1"/>
    <col min="30" max="31" width="13.7109375" style="32" hidden="1" customWidth="1" outlineLevel="2"/>
    <col min="32" max="32" width="13.7109375" style="32" hidden="1" customWidth="1" outlineLevel="1"/>
    <col min="33" max="33" width="22.5703125" style="32" bestFit="1" customWidth="1" collapsed="1"/>
    <col min="34" max="34" width="13.7109375" style="6" hidden="1" customWidth="1" outlineLevel="1"/>
    <col min="35" max="36" width="13.7109375" style="6" hidden="1" customWidth="1" outlineLevel="2"/>
    <col min="37" max="37" width="13.7109375" style="6" hidden="1" customWidth="1" outlineLevel="1"/>
    <col min="38" max="38" width="22.5703125" style="6" customWidth="1" collapsed="1"/>
    <col min="39" max="39" width="13.7109375" style="6" hidden="1" customWidth="1" outlineLevel="1"/>
    <col min="40" max="40" width="14" style="6" hidden="1" customWidth="1" outlineLevel="2"/>
    <col min="41" max="41" width="13.7109375" style="6" hidden="1" customWidth="1" outlineLevel="2"/>
    <col min="42" max="42" width="11" style="6" hidden="1" customWidth="1" outlineLevel="1"/>
    <col min="43" max="43" width="22.5703125" style="6" customWidth="1" collapsed="1"/>
    <col min="44" max="44" width="14.7109375" style="6" customWidth="1"/>
    <col min="45" max="45" width="42.140625" style="6" customWidth="1"/>
    <col min="46" max="46" width="14.28515625" style="6" customWidth="1"/>
    <col min="47" max="47" width="12.85546875" style="6" customWidth="1"/>
    <col min="48" max="62" width="12" style="6" customWidth="1"/>
    <col min="63" max="16384" width="9.140625" style="6"/>
  </cols>
  <sheetData>
    <row r="1" spans="5:62" ht="15" hidden="1" customHeight="1" x14ac:dyDescent="0.3">
      <c r="E1" s="113"/>
      <c r="F1" s="59"/>
      <c r="G1" s="19"/>
      <c r="H1" s="113"/>
      <c r="I1" s="113"/>
      <c r="J1" s="113"/>
      <c r="K1" s="113"/>
      <c r="L1" s="113"/>
      <c r="M1" s="114"/>
      <c r="N1" s="114"/>
      <c r="O1" s="114"/>
      <c r="P1" s="114"/>
      <c r="Q1" s="114"/>
      <c r="R1" s="188"/>
      <c r="S1" s="203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8"/>
      <c r="AS1" s="18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</row>
    <row r="2" spans="5:62" ht="15" hidden="1" customHeight="1" x14ac:dyDescent="0.3">
      <c r="E2" s="113"/>
      <c r="F2" s="59"/>
      <c r="G2" s="19"/>
      <c r="H2" s="113"/>
      <c r="I2" s="113"/>
      <c r="J2" s="113"/>
      <c r="K2" s="113"/>
      <c r="L2" s="113"/>
      <c r="M2" s="114"/>
      <c r="N2" s="114"/>
      <c r="O2" s="114"/>
      <c r="P2" s="114"/>
      <c r="Q2" s="114"/>
      <c r="R2" s="188"/>
      <c r="S2" s="203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8"/>
      <c r="AS2" s="18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</row>
    <row r="3" spans="5:62" ht="15" hidden="1" customHeight="1" x14ac:dyDescent="0.3">
      <c r="E3" s="113"/>
      <c r="F3" s="59"/>
      <c r="G3" s="19"/>
      <c r="H3" s="113"/>
      <c r="I3" s="113"/>
      <c r="J3" s="113"/>
      <c r="K3" s="113"/>
      <c r="L3" s="113"/>
      <c r="M3" s="114"/>
      <c r="N3" s="114"/>
      <c r="O3" s="114"/>
      <c r="P3" s="114"/>
      <c r="Q3" s="114"/>
      <c r="R3" s="188"/>
      <c r="S3" s="203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AS3" s="18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</row>
    <row r="4" spans="5:62" ht="15" hidden="1" customHeight="1" x14ac:dyDescent="0.3">
      <c r="E4" s="113"/>
      <c r="F4" s="59"/>
      <c r="G4" s="19"/>
      <c r="H4" s="113"/>
      <c r="I4" s="113"/>
      <c r="J4" s="113"/>
      <c r="K4" s="113"/>
      <c r="L4" s="113"/>
      <c r="M4" s="114"/>
      <c r="N4" s="114"/>
      <c r="O4" s="114"/>
      <c r="P4" s="114"/>
      <c r="Q4" s="114"/>
      <c r="R4" s="188"/>
      <c r="S4" s="203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8"/>
      <c r="AS4" s="18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</row>
    <row r="5" spans="5:62" ht="15.75" hidden="1" customHeight="1" x14ac:dyDescent="0.3">
      <c r="E5" s="113"/>
      <c r="F5" s="59" t="s">
        <v>389</v>
      </c>
      <c r="G5" s="19"/>
      <c r="H5" s="113"/>
      <c r="I5" s="113"/>
      <c r="J5" s="113"/>
      <c r="K5" s="113"/>
      <c r="L5" s="113"/>
      <c r="M5" s="114"/>
      <c r="N5" s="114"/>
      <c r="O5" s="114"/>
      <c r="P5" s="114"/>
      <c r="Q5" s="114"/>
      <c r="R5" s="188"/>
      <c r="S5" s="203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8"/>
      <c r="AS5" s="18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5:62" ht="17.25" hidden="1" customHeight="1" x14ac:dyDescent="0.3">
      <c r="E6" s="113"/>
      <c r="F6" s="59" t="s">
        <v>390</v>
      </c>
      <c r="G6" s="19"/>
      <c r="H6" s="113"/>
      <c r="I6" s="113"/>
      <c r="J6" s="113"/>
      <c r="K6" s="113"/>
      <c r="L6" s="113"/>
      <c r="M6" s="114"/>
      <c r="N6" s="114"/>
      <c r="O6" s="114"/>
      <c r="P6" s="114"/>
      <c r="Q6" s="114"/>
      <c r="R6" s="188"/>
      <c r="S6" s="203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8"/>
      <c r="AS6" s="18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</row>
    <row r="7" spans="5:62" ht="20.25" x14ac:dyDescent="0.3">
      <c r="E7" s="113"/>
      <c r="F7" s="115" t="s">
        <v>349</v>
      </c>
      <c r="G7" s="115">
        <v>2022</v>
      </c>
      <c r="I7" s="116"/>
      <c r="J7" s="116"/>
      <c r="K7" s="116"/>
      <c r="L7" s="116"/>
      <c r="M7" s="114"/>
      <c r="N7" s="117"/>
      <c r="O7" s="118" t="s">
        <v>0</v>
      </c>
      <c r="P7" s="119" t="e">
        <f>P26+P30+P31+P42+P43+P44+P50+P59</f>
        <v>#REF!</v>
      </c>
      <c r="Q7" s="114"/>
      <c r="R7" s="188"/>
      <c r="S7" s="203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8"/>
      <c r="AS7" s="18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</row>
    <row r="8" spans="5:62" ht="19.5" thickBot="1" x14ac:dyDescent="0.35">
      <c r="E8" s="113"/>
      <c r="F8" s="114"/>
      <c r="G8" s="113"/>
      <c r="H8" s="113"/>
      <c r="I8" s="113"/>
      <c r="J8" s="113"/>
      <c r="K8" s="113"/>
      <c r="L8" s="113"/>
      <c r="M8" s="114"/>
      <c r="N8" s="642" t="s">
        <v>350</v>
      </c>
      <c r="O8" s="642"/>
      <c r="P8" s="118">
        <f>P25/H25</f>
        <v>1.2523574363541121</v>
      </c>
      <c r="Q8" s="114"/>
      <c r="R8" s="188"/>
      <c r="S8" s="203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8"/>
      <c r="AS8" s="18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</row>
    <row r="9" spans="5:62" s="21" customFormat="1" ht="30" customHeight="1" x14ac:dyDescent="0.3">
      <c r="E9" s="643" t="s">
        <v>410</v>
      </c>
      <c r="F9" s="644"/>
      <c r="G9" s="644"/>
      <c r="H9" s="644"/>
      <c r="I9" s="644"/>
      <c r="J9" s="644"/>
      <c r="K9" s="644"/>
      <c r="L9" s="644"/>
      <c r="M9" s="644"/>
      <c r="N9" s="644"/>
      <c r="O9" s="644"/>
      <c r="P9" s="644"/>
      <c r="Q9" s="644"/>
      <c r="R9" s="644"/>
      <c r="S9" s="644"/>
      <c r="T9" s="644"/>
      <c r="U9" s="644"/>
      <c r="V9" s="644"/>
      <c r="W9" s="644"/>
      <c r="X9" s="644"/>
      <c r="Y9" s="644"/>
      <c r="Z9" s="644"/>
      <c r="AA9" s="644"/>
      <c r="AB9" s="644"/>
      <c r="AC9" s="644"/>
      <c r="AD9" s="644"/>
      <c r="AE9" s="644"/>
      <c r="AF9" s="644"/>
      <c r="AG9" s="644"/>
      <c r="AH9" s="644"/>
      <c r="AI9" s="644"/>
      <c r="AJ9" s="644"/>
      <c r="AK9" s="644"/>
      <c r="AL9" s="644"/>
      <c r="AM9" s="644"/>
      <c r="AN9" s="644"/>
      <c r="AO9" s="644"/>
      <c r="AP9" s="644"/>
      <c r="AQ9" s="645"/>
      <c r="AR9" s="20"/>
      <c r="AS9" s="20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5:62" s="21" customFormat="1" ht="24" customHeight="1" thickBot="1" x14ac:dyDescent="0.35">
      <c r="E10" s="646" t="s">
        <v>517</v>
      </c>
      <c r="F10" s="647"/>
      <c r="G10" s="647"/>
      <c r="H10" s="647"/>
      <c r="I10" s="647"/>
      <c r="J10" s="647"/>
      <c r="K10" s="647"/>
      <c r="L10" s="647"/>
      <c r="M10" s="647"/>
      <c r="N10" s="647"/>
      <c r="O10" s="647"/>
      <c r="P10" s="647"/>
      <c r="Q10" s="647"/>
      <c r="R10" s="647"/>
      <c r="S10" s="647"/>
      <c r="T10" s="647"/>
      <c r="U10" s="647"/>
      <c r="V10" s="647"/>
      <c r="W10" s="647"/>
      <c r="X10" s="647"/>
      <c r="Y10" s="647"/>
      <c r="Z10" s="647"/>
      <c r="AA10" s="647"/>
      <c r="AB10" s="647"/>
      <c r="AC10" s="647"/>
      <c r="AD10" s="647"/>
      <c r="AE10" s="647"/>
      <c r="AF10" s="647"/>
      <c r="AG10" s="647"/>
      <c r="AH10" s="647"/>
      <c r="AI10" s="647"/>
      <c r="AJ10" s="647"/>
      <c r="AK10" s="647"/>
      <c r="AL10" s="647"/>
      <c r="AM10" s="647"/>
      <c r="AN10" s="647"/>
      <c r="AO10" s="647"/>
      <c r="AP10" s="647"/>
      <c r="AQ10" s="648"/>
      <c r="AR10" s="20"/>
      <c r="AS10" s="20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</row>
    <row r="11" spans="5:62" s="21" customFormat="1" ht="19.5" thickBot="1" x14ac:dyDescent="0.35">
      <c r="E11" s="272"/>
      <c r="F11" s="273"/>
      <c r="G11" s="272"/>
      <c r="H11" s="272"/>
      <c r="I11" s="272"/>
      <c r="J11" s="272"/>
      <c r="K11" s="272"/>
      <c r="L11" s="272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273"/>
      <c r="AO11" s="273"/>
      <c r="AP11" s="273"/>
      <c r="AQ11" s="273"/>
      <c r="AR11" s="20"/>
      <c r="AS11" s="20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</row>
    <row r="12" spans="5:62" ht="98.25" customHeight="1" x14ac:dyDescent="0.3">
      <c r="E12" s="667" t="s">
        <v>1</v>
      </c>
      <c r="F12" s="670" t="s">
        <v>2</v>
      </c>
      <c r="G12" s="673" t="s">
        <v>3</v>
      </c>
      <c r="H12" s="274" t="s">
        <v>391</v>
      </c>
      <c r="I12" s="649" t="s">
        <v>4</v>
      </c>
      <c r="J12" s="649"/>
      <c r="K12" s="649" t="s">
        <v>5</v>
      </c>
      <c r="L12" s="650"/>
      <c r="M12" s="651" t="str">
        <f>"Последний отчетный период регулирования - " &amp; year -1 &amp; " год"</f>
        <v>Последний отчетный период регулирования - 2023 год</v>
      </c>
      <c r="N12" s="649"/>
      <c r="O12" s="650"/>
      <c r="P12" s="651" t="str">
        <f>"Текущий период регулирования - " &amp; year  &amp; " год"</f>
        <v>Текущий период регулирования - 2024 год</v>
      </c>
      <c r="Q12" s="650"/>
      <c r="R12" s="651" t="str">
        <f>"Период регулирования - " &amp; year+1 &amp; " год"</f>
        <v>Период регулирования - 2025 год</v>
      </c>
      <c r="S12" s="652"/>
      <c r="T12" s="649"/>
      <c r="U12" s="649"/>
      <c r="V12" s="649"/>
      <c r="W12" s="650"/>
      <c r="X12" s="652" t="str">
        <f>"Период регулирования - " &amp; year+2 &amp; " год"</f>
        <v>Период регулирования - 2026 год</v>
      </c>
      <c r="Y12" s="649"/>
      <c r="Z12" s="649"/>
      <c r="AA12" s="649"/>
      <c r="AB12" s="649"/>
      <c r="AC12" s="649" t="str">
        <f>"Период регулирования - " &amp; year+3 &amp; " год"</f>
        <v>Период регулирования - 2027 год</v>
      </c>
      <c r="AD12" s="649"/>
      <c r="AE12" s="649"/>
      <c r="AF12" s="649"/>
      <c r="AG12" s="649"/>
      <c r="AH12" s="649" t="str">
        <f>"Период регулирования - " &amp; year+4 &amp; " год"</f>
        <v>Период регулирования - 2028 год</v>
      </c>
      <c r="AI12" s="649"/>
      <c r="AJ12" s="649"/>
      <c r="AK12" s="649"/>
      <c r="AL12" s="650"/>
      <c r="AM12" s="649" t="str">
        <f>"Период регулирования - " &amp; year+5 &amp; " год"</f>
        <v>Период регулирования - 2029 год</v>
      </c>
      <c r="AN12" s="649"/>
      <c r="AO12" s="649"/>
      <c r="AP12" s="649"/>
      <c r="AQ12" s="650"/>
      <c r="AR12" s="20"/>
      <c r="AS12" s="20"/>
    </row>
    <row r="13" spans="5:62" ht="42.75" customHeight="1" x14ac:dyDescent="0.3">
      <c r="E13" s="668"/>
      <c r="F13" s="671"/>
      <c r="G13" s="674"/>
      <c r="H13" s="660" t="s">
        <v>518</v>
      </c>
      <c r="I13" s="656" t="s">
        <v>6</v>
      </c>
      <c r="J13" s="656" t="s">
        <v>7</v>
      </c>
      <c r="K13" s="656" t="s">
        <v>8</v>
      </c>
      <c r="L13" s="658" t="s">
        <v>9</v>
      </c>
      <c r="M13" s="660" t="s">
        <v>510</v>
      </c>
      <c r="N13" s="656" t="s">
        <v>10</v>
      </c>
      <c r="O13" s="658" t="s">
        <v>11</v>
      </c>
      <c r="P13" s="660" t="s">
        <v>508</v>
      </c>
      <c r="Q13" s="658" t="s">
        <v>13</v>
      </c>
      <c r="R13" s="662" t="s">
        <v>509</v>
      </c>
      <c r="S13" s="662" t="s">
        <v>523</v>
      </c>
      <c r="T13" s="664" t="s">
        <v>15</v>
      </c>
      <c r="U13" s="664"/>
      <c r="V13" s="664"/>
      <c r="W13" s="666"/>
      <c r="X13" s="654" t="s">
        <v>14</v>
      </c>
      <c r="Y13" s="275" t="s">
        <v>15</v>
      </c>
      <c r="Z13" s="275"/>
      <c r="AA13" s="275"/>
      <c r="AB13" s="664" t="s">
        <v>15</v>
      </c>
      <c r="AC13" s="664"/>
      <c r="AD13" s="664"/>
      <c r="AE13" s="666"/>
      <c r="AF13" s="275"/>
      <c r="AG13" s="275" t="s">
        <v>15</v>
      </c>
      <c r="AH13" s="664" t="s">
        <v>14</v>
      </c>
      <c r="AI13" s="664" t="s">
        <v>15</v>
      </c>
      <c r="AJ13" s="664"/>
      <c r="AK13" s="664"/>
      <c r="AL13" s="666"/>
      <c r="AM13" s="664" t="s">
        <v>14</v>
      </c>
      <c r="AN13" s="664" t="s">
        <v>15</v>
      </c>
      <c r="AO13" s="664"/>
      <c r="AP13" s="664"/>
      <c r="AQ13" s="666"/>
      <c r="AR13" s="20"/>
      <c r="AS13" s="20"/>
    </row>
    <row r="14" spans="5:62" ht="126.75" customHeight="1" thickBot="1" x14ac:dyDescent="0.35">
      <c r="E14" s="669"/>
      <c r="F14" s="672"/>
      <c r="G14" s="675"/>
      <c r="H14" s="661"/>
      <c r="I14" s="657"/>
      <c r="J14" s="657"/>
      <c r="K14" s="657"/>
      <c r="L14" s="659"/>
      <c r="M14" s="661"/>
      <c r="N14" s="657"/>
      <c r="O14" s="659"/>
      <c r="P14" s="661"/>
      <c r="Q14" s="659"/>
      <c r="R14" s="663"/>
      <c r="S14" s="663"/>
      <c r="T14" s="276" t="str">
        <f>"с 01.01." &amp; year+1 &amp; " по 30.06." &amp; year+1 &amp; ""</f>
        <v>с 01.01.2025 по 30.06.2025</v>
      </c>
      <c r="U14" s="276" t="str">
        <f>"с 01.07." &amp; year+1 &amp; " по 31.12." &amp; year+1 &amp; ""</f>
        <v>с 01.07.2025 по 31.12.2025</v>
      </c>
      <c r="V14" s="276" t="s">
        <v>16</v>
      </c>
      <c r="W14" s="277" t="str">
        <f>"исходя из роста тарифов с календарной разбивкой на " &amp; year+1 &amp; " год "</f>
        <v xml:space="preserve">исходя из роста тарифов с календарной разбивкой на 2025 год </v>
      </c>
      <c r="X14" s="655"/>
      <c r="Y14" s="276" t="str">
        <f>"с 01.01." &amp; year+2 &amp; " по 30.06." &amp; year+2 &amp; ""</f>
        <v>с 01.01.2026 по 30.06.2026</v>
      </c>
      <c r="Z14" s="276" t="str">
        <f>"с 01.07." &amp; year+2 &amp; " по 31.12." &amp; year+2 &amp; ""</f>
        <v>с 01.07.2026 по 31.12.2026</v>
      </c>
      <c r="AA14" s="276" t="s">
        <v>16</v>
      </c>
      <c r="AB14" s="276" t="str">
        <f>"исходя из роста тарифов с календарной разбивкой на " &amp; year+2 &amp; " год"</f>
        <v>исходя из роста тарифов с календарной разбивкой на 2026 год</v>
      </c>
      <c r="AC14" s="276"/>
      <c r="AD14" s="276" t="str">
        <f>"с 01.01." &amp; year+3 &amp; " по 30.06." &amp; year+3 &amp; ""</f>
        <v>с 01.01.2027 по 30.06.2027</v>
      </c>
      <c r="AE14" s="276" t="str">
        <f>"с 01.07." &amp; year+3 &amp; " по 31.12." &amp; year+3 &amp; ""</f>
        <v>с 01.07.2027 по 31.12.2027</v>
      </c>
      <c r="AF14" s="276" t="s">
        <v>16</v>
      </c>
      <c r="AG14" s="276" t="str">
        <f>"исходя из роста тарифов с календарной разбивкой на " &amp; year+3 &amp; " год"</f>
        <v>исходя из роста тарифов с календарной разбивкой на 2027 год</v>
      </c>
      <c r="AH14" s="665"/>
      <c r="AI14" s="276" t="str">
        <f>"с 01.01." &amp; year+4 &amp; " по 30.06." &amp; year+4 &amp; ""</f>
        <v>с 01.01.2028 по 30.06.2028</v>
      </c>
      <c r="AJ14" s="276" t="str">
        <f>"с 01.07." &amp; year+4 &amp; " по 31.12." &amp; year+4 &amp; ""</f>
        <v>с 01.07.2028 по 31.12.2028</v>
      </c>
      <c r="AK14" s="276" t="s">
        <v>16</v>
      </c>
      <c r="AL14" s="277" t="str">
        <f>"исходя из роста тарифов с календарной разбивкой на " &amp; year+4 &amp; " год"</f>
        <v>исходя из роста тарифов с календарной разбивкой на 2028 год</v>
      </c>
      <c r="AM14" s="665"/>
      <c r="AN14" s="276" t="str">
        <f>"с 01.01." &amp; year+4 &amp; " по 30.06." &amp; year+4 &amp; ""</f>
        <v>с 01.01.2028 по 30.06.2028</v>
      </c>
      <c r="AO14" s="276" t="str">
        <f>"с 01.07." &amp; year+4 &amp; " по 31.12." &amp; year+4 &amp; ""</f>
        <v>с 01.07.2028 по 31.12.2028</v>
      </c>
      <c r="AP14" s="276" t="s">
        <v>16</v>
      </c>
      <c r="AQ14" s="277" t="str">
        <f>"исходя из роста тарифов с календарной разбивкой на " &amp; year+5 &amp; " год"</f>
        <v>исходя из роста тарифов с календарной разбивкой на 2029 год</v>
      </c>
      <c r="AR14" s="20" t="s">
        <v>514</v>
      </c>
      <c r="AS14" s="20"/>
    </row>
    <row r="15" spans="5:62" s="21" customFormat="1" ht="22.5" customHeight="1" x14ac:dyDescent="0.3">
      <c r="E15" s="278"/>
      <c r="F15" s="279"/>
      <c r="G15" s="280"/>
      <c r="H15" s="281"/>
      <c r="I15" s="282"/>
      <c r="J15" s="282"/>
      <c r="K15" s="282"/>
      <c r="L15" s="283"/>
      <c r="M15" s="284"/>
      <c r="N15" s="285"/>
      <c r="O15" s="286"/>
      <c r="P15" s="284"/>
      <c r="Q15" s="286"/>
      <c r="R15" s="287"/>
      <c r="S15" s="287"/>
      <c r="T15" s="288"/>
      <c r="U15" s="288"/>
      <c r="V15" s="288"/>
      <c r="W15" s="288"/>
      <c r="X15" s="288"/>
      <c r="Y15" s="288"/>
      <c r="Z15" s="288"/>
      <c r="AA15" s="288"/>
      <c r="AB15" s="288"/>
      <c r="AC15" s="288"/>
      <c r="AD15" s="288"/>
      <c r="AE15" s="288"/>
      <c r="AF15" s="288"/>
      <c r="AG15" s="288"/>
      <c r="AH15" s="288"/>
      <c r="AI15" s="288"/>
      <c r="AJ15" s="288"/>
      <c r="AK15" s="288"/>
      <c r="AL15" s="288"/>
      <c r="AM15" s="288"/>
      <c r="AN15" s="288"/>
      <c r="AO15" s="288"/>
      <c r="AP15" s="288"/>
      <c r="AQ15" s="288"/>
      <c r="AR15" s="20"/>
      <c r="AS15" s="20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</row>
    <row r="16" spans="5:62" s="33" customFormat="1" ht="23.25" x14ac:dyDescent="0.3">
      <c r="E16" s="289">
        <v>1</v>
      </c>
      <c r="F16" s="290" t="s">
        <v>17</v>
      </c>
      <c r="G16" s="291"/>
      <c r="H16" s="292"/>
      <c r="I16" s="293"/>
      <c r="J16" s="293"/>
      <c r="K16" s="294"/>
      <c r="L16" s="295"/>
      <c r="M16" s="296"/>
      <c r="N16" s="297"/>
      <c r="O16" s="298"/>
      <c r="P16" s="299"/>
      <c r="Q16" s="300"/>
      <c r="R16" s="301"/>
      <c r="S16" s="301"/>
      <c r="T16" s="302"/>
      <c r="U16" s="302"/>
      <c r="V16" s="302"/>
      <c r="W16" s="302"/>
      <c r="X16" s="302"/>
      <c r="Y16" s="302"/>
      <c r="Z16" s="302"/>
      <c r="AA16" s="302"/>
      <c r="AB16" s="302"/>
      <c r="AC16" s="302"/>
      <c r="AD16" s="302"/>
      <c r="AE16" s="302"/>
      <c r="AF16" s="302"/>
      <c r="AG16" s="302"/>
      <c r="AH16" s="302"/>
      <c r="AI16" s="302"/>
      <c r="AJ16" s="302"/>
      <c r="AK16" s="302"/>
      <c r="AL16" s="302"/>
      <c r="AM16" s="302"/>
      <c r="AN16" s="302"/>
      <c r="AO16" s="302"/>
      <c r="AP16" s="302"/>
      <c r="AQ16" s="302"/>
      <c r="AR16" s="31"/>
      <c r="AS16" s="31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</row>
    <row r="17" spans="5:62" s="82" customFormat="1" ht="22.5" customHeight="1" x14ac:dyDescent="0.3">
      <c r="E17" s="303" t="s">
        <v>18</v>
      </c>
      <c r="F17" s="290" t="s">
        <v>403</v>
      </c>
      <c r="G17" s="291" t="s">
        <v>19</v>
      </c>
      <c r="H17" s="296">
        <v>0.99249999999999994</v>
      </c>
      <c r="I17" s="294"/>
      <c r="J17" s="294"/>
      <c r="K17" s="294">
        <f t="shared" ref="K17:K24" si="0">J17/6*5</f>
        <v>0</v>
      </c>
      <c r="L17" s="295">
        <f t="shared" ref="L17:L24" si="1">J17/6</f>
        <v>0</v>
      </c>
      <c r="M17" s="296">
        <v>0.99249999999999994</v>
      </c>
      <c r="N17" s="304">
        <f>SUM(N18:N21)</f>
        <v>1.0145299999999999</v>
      </c>
      <c r="O17" s="300">
        <f>SUM(O18:O21)</f>
        <v>1.0145299999999999</v>
      </c>
      <c r="P17" s="305">
        <v>0.99249999999999994</v>
      </c>
      <c r="Q17" s="300"/>
      <c r="R17" s="304">
        <f>SUM(R18:R21)</f>
        <v>1.0145299999999999</v>
      </c>
      <c r="S17" s="304">
        <v>1.0145299999999999</v>
      </c>
      <c r="T17" s="304">
        <f>V17/2</f>
        <v>0.50726499999999997</v>
      </c>
      <c r="U17" s="304">
        <f>V17/2</f>
        <v>0.50726499999999997</v>
      </c>
      <c r="V17" s="304">
        <f>SUM(V18:V21)</f>
        <v>1.0145299999999999</v>
      </c>
      <c r="W17" s="304">
        <f t="shared" ref="W17:W24" si="2">T17+U17</f>
        <v>1.0145299999999999</v>
      </c>
      <c r="X17" s="304"/>
      <c r="Y17" s="304">
        <v>37.484000000000002</v>
      </c>
      <c r="Z17" s="304">
        <v>37.484000000000002</v>
      </c>
      <c r="AA17" s="304">
        <v>74.968000000000004</v>
      </c>
      <c r="AB17" s="304">
        <f>W17</f>
        <v>1.0145299999999999</v>
      </c>
      <c r="AC17" s="304"/>
      <c r="AD17" s="304"/>
      <c r="AE17" s="304"/>
      <c r="AF17" s="304"/>
      <c r="AG17" s="304">
        <f>AB17</f>
        <v>1.0145299999999999</v>
      </c>
      <c r="AH17" s="304"/>
      <c r="AI17" s="304"/>
      <c r="AJ17" s="304"/>
      <c r="AK17" s="304"/>
      <c r="AL17" s="304">
        <f>AG17</f>
        <v>1.0145299999999999</v>
      </c>
      <c r="AM17" s="304"/>
      <c r="AN17" s="304"/>
      <c r="AO17" s="304"/>
      <c r="AP17" s="304"/>
      <c r="AQ17" s="304">
        <f>AL17</f>
        <v>1.0145299999999999</v>
      </c>
      <c r="AR17" s="83"/>
      <c r="AS17" s="83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</row>
    <row r="18" spans="5:62" s="33" customFormat="1" ht="23.25" hidden="1" x14ac:dyDescent="0.3">
      <c r="E18" s="306" t="s">
        <v>35</v>
      </c>
      <c r="F18" s="307" t="s">
        <v>404</v>
      </c>
      <c r="G18" s="308" t="s">
        <v>19</v>
      </c>
      <c r="H18" s="292">
        <v>0</v>
      </c>
      <c r="I18" s="293"/>
      <c r="J18" s="293"/>
      <c r="K18" s="293">
        <f t="shared" si="0"/>
        <v>0</v>
      </c>
      <c r="L18" s="309">
        <f t="shared" si="1"/>
        <v>0</v>
      </c>
      <c r="M18" s="292">
        <v>0</v>
      </c>
      <c r="N18" s="297">
        <v>0</v>
      </c>
      <c r="O18" s="298">
        <f>N18</f>
        <v>0</v>
      </c>
      <c r="P18" s="299">
        <v>0</v>
      </c>
      <c r="Q18" s="298"/>
      <c r="R18" s="310"/>
      <c r="S18" s="310"/>
      <c r="T18" s="311">
        <f t="shared" ref="T18:T24" si="3">V18/2</f>
        <v>0</v>
      </c>
      <c r="U18" s="311">
        <f>V18/2</f>
        <v>0</v>
      </c>
      <c r="V18" s="311">
        <f>R18</f>
        <v>0</v>
      </c>
      <c r="W18" s="311">
        <f>T18+U18</f>
        <v>0</v>
      </c>
      <c r="X18" s="311"/>
      <c r="Y18" s="311">
        <v>0</v>
      </c>
      <c r="Z18" s="311">
        <v>0</v>
      </c>
      <c r="AA18" s="311">
        <v>0</v>
      </c>
      <c r="AB18" s="311">
        <f t="shared" ref="AB18:AB23" si="4">W18</f>
        <v>0</v>
      </c>
      <c r="AC18" s="311"/>
      <c r="AD18" s="311"/>
      <c r="AE18" s="311"/>
      <c r="AF18" s="311"/>
      <c r="AG18" s="311">
        <f t="shared" ref="AG18:AG23" si="5">AB18</f>
        <v>0</v>
      </c>
      <c r="AH18" s="311"/>
      <c r="AI18" s="311"/>
      <c r="AJ18" s="311"/>
      <c r="AK18" s="311"/>
      <c r="AL18" s="311">
        <f t="shared" ref="AL18:AL23" si="6">AG18</f>
        <v>0</v>
      </c>
      <c r="AM18" s="311"/>
      <c r="AN18" s="311"/>
      <c r="AO18" s="311"/>
      <c r="AP18" s="311"/>
      <c r="AQ18" s="311">
        <f t="shared" ref="AQ18:AQ23" si="7">AL18</f>
        <v>0</v>
      </c>
      <c r="AR18" s="31"/>
      <c r="AS18" s="31"/>
      <c r="BD18" s="32"/>
      <c r="BE18" s="32"/>
      <c r="BF18" s="32"/>
      <c r="BG18" s="32"/>
      <c r="BH18" s="32"/>
      <c r="BI18" s="32"/>
      <c r="BJ18" s="32"/>
    </row>
    <row r="19" spans="5:62" s="33" customFormat="1" ht="22.5" customHeight="1" x14ac:dyDescent="0.3">
      <c r="E19" s="306" t="s">
        <v>37</v>
      </c>
      <c r="F19" s="312" t="s">
        <v>405</v>
      </c>
      <c r="G19" s="308" t="s">
        <v>19</v>
      </c>
      <c r="H19" s="292">
        <v>0.40050000000000002</v>
      </c>
      <c r="I19" s="293"/>
      <c r="J19" s="293"/>
      <c r="K19" s="293">
        <f>J19/6*5</f>
        <v>0</v>
      </c>
      <c r="L19" s="309">
        <f t="shared" si="1"/>
        <v>0</v>
      </c>
      <c r="M19" s="292">
        <v>0.40050000000000002</v>
      </c>
      <c r="N19" s="297">
        <v>0.434</v>
      </c>
      <c r="O19" s="298">
        <f>N19</f>
        <v>0.434</v>
      </c>
      <c r="P19" s="299">
        <v>0.40050000000000002</v>
      </c>
      <c r="Q19" s="298"/>
      <c r="R19" s="310">
        <f>N19</f>
        <v>0.434</v>
      </c>
      <c r="S19" s="310">
        <v>0.434</v>
      </c>
      <c r="T19" s="311">
        <f t="shared" si="3"/>
        <v>0.217</v>
      </c>
      <c r="U19" s="311">
        <f t="shared" ref="U19:U24" si="8">V19/2</f>
        <v>0.217</v>
      </c>
      <c r="V19" s="311">
        <f t="shared" ref="V19:V21" si="9">R19</f>
        <v>0.434</v>
      </c>
      <c r="W19" s="311">
        <f>T19+U19</f>
        <v>0.434</v>
      </c>
      <c r="X19" s="311"/>
      <c r="Y19" s="311">
        <v>2.0139999999999998</v>
      </c>
      <c r="Z19" s="311">
        <v>2.0139999999999998</v>
      </c>
      <c r="AA19" s="311">
        <v>4.0279999999999996</v>
      </c>
      <c r="AB19" s="311">
        <f t="shared" si="4"/>
        <v>0.434</v>
      </c>
      <c r="AC19" s="311"/>
      <c r="AD19" s="311"/>
      <c r="AE19" s="311"/>
      <c r="AF19" s="311"/>
      <c r="AG19" s="311">
        <f t="shared" si="5"/>
        <v>0.434</v>
      </c>
      <c r="AH19" s="311"/>
      <c r="AI19" s="311"/>
      <c r="AJ19" s="311"/>
      <c r="AK19" s="311"/>
      <c r="AL19" s="311">
        <f t="shared" si="6"/>
        <v>0.434</v>
      </c>
      <c r="AM19" s="311"/>
      <c r="AN19" s="311"/>
      <c r="AO19" s="311"/>
      <c r="AP19" s="311"/>
      <c r="AQ19" s="311">
        <f t="shared" si="7"/>
        <v>0.434</v>
      </c>
      <c r="AR19" s="31"/>
      <c r="AS19" s="31"/>
      <c r="BD19" s="32"/>
      <c r="BE19" s="32"/>
      <c r="BF19" s="32"/>
      <c r="BG19" s="32"/>
      <c r="BH19" s="32"/>
      <c r="BI19" s="32"/>
      <c r="BJ19" s="32"/>
    </row>
    <row r="20" spans="5:62" s="33" customFormat="1" ht="22.5" hidden="1" customHeight="1" x14ac:dyDescent="0.3">
      <c r="E20" s="306" t="s">
        <v>406</v>
      </c>
      <c r="F20" s="307" t="s">
        <v>407</v>
      </c>
      <c r="G20" s="308" t="s">
        <v>19</v>
      </c>
      <c r="H20" s="292">
        <v>0</v>
      </c>
      <c r="I20" s="293"/>
      <c r="J20" s="293"/>
      <c r="K20" s="293">
        <f t="shared" si="0"/>
        <v>0</v>
      </c>
      <c r="L20" s="309">
        <f t="shared" si="1"/>
        <v>0</v>
      </c>
      <c r="M20" s="292">
        <v>0</v>
      </c>
      <c r="N20" s="297">
        <v>0</v>
      </c>
      <c r="O20" s="298">
        <f>N20</f>
        <v>0</v>
      </c>
      <c r="P20" s="299">
        <v>0</v>
      </c>
      <c r="Q20" s="298"/>
      <c r="R20" s="310"/>
      <c r="S20" s="310"/>
      <c r="T20" s="311">
        <f t="shared" si="3"/>
        <v>0</v>
      </c>
      <c r="U20" s="311">
        <f t="shared" si="8"/>
        <v>0</v>
      </c>
      <c r="V20" s="311">
        <f t="shared" si="9"/>
        <v>0</v>
      </c>
      <c r="W20" s="311">
        <f t="shared" si="2"/>
        <v>0</v>
      </c>
      <c r="X20" s="311"/>
      <c r="Y20" s="311">
        <v>0</v>
      </c>
      <c r="Z20" s="311">
        <v>0</v>
      </c>
      <c r="AA20" s="311">
        <v>0</v>
      </c>
      <c r="AB20" s="311">
        <f t="shared" si="4"/>
        <v>0</v>
      </c>
      <c r="AC20" s="311"/>
      <c r="AD20" s="311"/>
      <c r="AE20" s="311"/>
      <c r="AF20" s="311"/>
      <c r="AG20" s="311">
        <f t="shared" si="5"/>
        <v>0</v>
      </c>
      <c r="AH20" s="311"/>
      <c r="AI20" s="311"/>
      <c r="AJ20" s="311"/>
      <c r="AK20" s="311"/>
      <c r="AL20" s="311">
        <f t="shared" si="6"/>
        <v>0</v>
      </c>
      <c r="AM20" s="311"/>
      <c r="AN20" s="311"/>
      <c r="AO20" s="311"/>
      <c r="AP20" s="311"/>
      <c r="AQ20" s="311">
        <f t="shared" si="7"/>
        <v>0</v>
      </c>
      <c r="AR20" s="31"/>
      <c r="AS20" s="31"/>
      <c r="BD20" s="32"/>
      <c r="BE20" s="32"/>
      <c r="BF20" s="32"/>
      <c r="BG20" s="32"/>
      <c r="BH20" s="32"/>
      <c r="BI20" s="32"/>
      <c r="BJ20" s="32"/>
    </row>
    <row r="21" spans="5:62" s="33" customFormat="1" ht="22.5" customHeight="1" outlineLevel="1" x14ac:dyDescent="0.3">
      <c r="E21" s="306" t="s">
        <v>408</v>
      </c>
      <c r="F21" s="307" t="s">
        <v>409</v>
      </c>
      <c r="G21" s="308" t="s">
        <v>19</v>
      </c>
      <c r="H21" s="292">
        <v>0.59199999999999997</v>
      </c>
      <c r="I21" s="293"/>
      <c r="J21" s="293"/>
      <c r="K21" s="293">
        <f t="shared" si="0"/>
        <v>0</v>
      </c>
      <c r="L21" s="309">
        <f t="shared" si="1"/>
        <v>0</v>
      </c>
      <c r="M21" s="292">
        <v>0.59199999999999997</v>
      </c>
      <c r="N21" s="297">
        <v>0.58052999999999999</v>
      </c>
      <c r="O21" s="298">
        <f>N21</f>
        <v>0.58052999999999999</v>
      </c>
      <c r="P21" s="299">
        <v>0.59199999999999997</v>
      </c>
      <c r="Q21" s="298"/>
      <c r="R21" s="310">
        <f>N21</f>
        <v>0.58052999999999999</v>
      </c>
      <c r="S21" s="310">
        <v>0.58052999999999999</v>
      </c>
      <c r="T21" s="311">
        <f t="shared" si="3"/>
        <v>0.290265</v>
      </c>
      <c r="U21" s="311">
        <f t="shared" si="8"/>
        <v>0.290265</v>
      </c>
      <c r="V21" s="311">
        <f t="shared" si="9"/>
        <v>0.58052999999999999</v>
      </c>
      <c r="W21" s="311">
        <f t="shared" si="2"/>
        <v>0.58052999999999999</v>
      </c>
      <c r="X21" s="311"/>
      <c r="Y21" s="311">
        <v>35.47</v>
      </c>
      <c r="Z21" s="311">
        <v>35.47</v>
      </c>
      <c r="AA21" s="311">
        <v>70.94</v>
      </c>
      <c r="AB21" s="311">
        <f t="shared" si="4"/>
        <v>0.58052999999999999</v>
      </c>
      <c r="AC21" s="311"/>
      <c r="AD21" s="311"/>
      <c r="AE21" s="311"/>
      <c r="AF21" s="311"/>
      <c r="AG21" s="311">
        <f t="shared" si="5"/>
        <v>0.58052999999999999</v>
      </c>
      <c r="AH21" s="311"/>
      <c r="AI21" s="311"/>
      <c r="AJ21" s="311"/>
      <c r="AK21" s="311"/>
      <c r="AL21" s="311">
        <f t="shared" si="6"/>
        <v>0.58052999999999999</v>
      </c>
      <c r="AM21" s="311"/>
      <c r="AN21" s="311"/>
      <c r="AO21" s="311"/>
      <c r="AP21" s="311"/>
      <c r="AQ21" s="311">
        <f t="shared" si="7"/>
        <v>0.58052999999999999</v>
      </c>
      <c r="AR21" s="31"/>
      <c r="AS21" s="31"/>
      <c r="BB21" s="33">
        <f>AS74*1.06*0.99*1.047*0.99/2</f>
        <v>0</v>
      </c>
      <c r="BC21" s="33">
        <f>BB21*1.04*0.99*2</f>
        <v>0</v>
      </c>
      <c r="BD21" s="32"/>
      <c r="BE21" s="32"/>
      <c r="BF21" s="32"/>
      <c r="BG21" s="32"/>
      <c r="BH21" s="32"/>
      <c r="BI21" s="32"/>
      <c r="BJ21" s="32"/>
    </row>
    <row r="22" spans="5:62" s="82" customFormat="1" ht="22.5" customHeight="1" collapsed="1" thickBot="1" x14ac:dyDescent="0.35">
      <c r="E22" s="313" t="s">
        <v>20</v>
      </c>
      <c r="F22" s="314" t="s">
        <v>398</v>
      </c>
      <c r="G22" s="315" t="s">
        <v>24</v>
      </c>
      <c r="H22" s="316">
        <v>0.99249999999999994</v>
      </c>
      <c r="I22" s="317"/>
      <c r="J22" s="317"/>
      <c r="K22" s="317">
        <f t="shared" si="0"/>
        <v>0</v>
      </c>
      <c r="L22" s="318">
        <f t="shared" si="1"/>
        <v>0</v>
      </c>
      <c r="M22" s="316">
        <f>M17</f>
        <v>0.99249999999999994</v>
      </c>
      <c r="N22" s="316">
        <f t="shared" ref="N22:O22" si="10">N17</f>
        <v>1.0145299999999999</v>
      </c>
      <c r="O22" s="316">
        <f t="shared" si="10"/>
        <v>1.0145299999999999</v>
      </c>
      <c r="P22" s="316">
        <f>P17</f>
        <v>0.99249999999999994</v>
      </c>
      <c r="Q22" s="319"/>
      <c r="R22" s="320">
        <f>R17</f>
        <v>1.0145299999999999</v>
      </c>
      <c r="S22" s="320">
        <v>1.0145299999999999</v>
      </c>
      <c r="T22" s="320">
        <f t="shared" ref="T22:AQ22" si="11">T17</f>
        <v>0.50726499999999997</v>
      </c>
      <c r="U22" s="320">
        <f t="shared" si="11"/>
        <v>0.50726499999999997</v>
      </c>
      <c r="V22" s="320">
        <f t="shared" si="11"/>
        <v>1.0145299999999999</v>
      </c>
      <c r="W22" s="320">
        <f t="shared" si="11"/>
        <v>1.0145299999999999</v>
      </c>
      <c r="X22" s="320">
        <f t="shared" si="11"/>
        <v>0</v>
      </c>
      <c r="Y22" s="320">
        <f t="shared" si="11"/>
        <v>37.484000000000002</v>
      </c>
      <c r="Z22" s="320">
        <f t="shared" si="11"/>
        <v>37.484000000000002</v>
      </c>
      <c r="AA22" s="320">
        <f t="shared" si="11"/>
        <v>74.968000000000004</v>
      </c>
      <c r="AB22" s="320">
        <f t="shared" si="11"/>
        <v>1.0145299999999999</v>
      </c>
      <c r="AC22" s="320">
        <f t="shared" si="11"/>
        <v>0</v>
      </c>
      <c r="AD22" s="320">
        <f t="shared" si="11"/>
        <v>0</v>
      </c>
      <c r="AE22" s="320">
        <f t="shared" si="11"/>
        <v>0</v>
      </c>
      <c r="AF22" s="320">
        <f t="shared" si="11"/>
        <v>0</v>
      </c>
      <c r="AG22" s="320">
        <f t="shared" si="11"/>
        <v>1.0145299999999999</v>
      </c>
      <c r="AH22" s="320">
        <f t="shared" si="11"/>
        <v>0</v>
      </c>
      <c r="AI22" s="320">
        <f t="shared" si="11"/>
        <v>0</v>
      </c>
      <c r="AJ22" s="320">
        <f t="shared" si="11"/>
        <v>0</v>
      </c>
      <c r="AK22" s="320">
        <f t="shared" si="11"/>
        <v>0</v>
      </c>
      <c r="AL22" s="320">
        <f t="shared" si="11"/>
        <v>1.0145299999999999</v>
      </c>
      <c r="AM22" s="320">
        <f t="shared" si="11"/>
        <v>0</v>
      </c>
      <c r="AN22" s="320">
        <f t="shared" si="11"/>
        <v>0</v>
      </c>
      <c r="AO22" s="320">
        <f t="shared" si="11"/>
        <v>0</v>
      </c>
      <c r="AP22" s="320">
        <f t="shared" si="11"/>
        <v>0</v>
      </c>
      <c r="AQ22" s="320">
        <f t="shared" si="11"/>
        <v>1.0145299999999999</v>
      </c>
      <c r="AR22" s="83"/>
      <c r="AS22" s="83"/>
      <c r="AT22" s="110" t="s">
        <v>359</v>
      </c>
      <c r="AU22" s="110" t="s">
        <v>360</v>
      </c>
      <c r="AV22" s="110" t="s">
        <v>351</v>
      </c>
      <c r="AW22" s="110" t="s">
        <v>352</v>
      </c>
      <c r="AX22" s="110" t="s">
        <v>353</v>
      </c>
      <c r="AY22" s="110" t="s">
        <v>354</v>
      </c>
      <c r="AZ22" s="110" t="s">
        <v>355</v>
      </c>
      <c r="BA22" s="110" t="s">
        <v>356</v>
      </c>
      <c r="BB22" s="110" t="s">
        <v>357</v>
      </c>
      <c r="BC22" s="110" t="s">
        <v>358</v>
      </c>
      <c r="BD22" s="110" t="s">
        <v>511</v>
      </c>
      <c r="BE22" s="110" t="s">
        <v>512</v>
      </c>
      <c r="BF22" s="110" t="s">
        <v>513</v>
      </c>
      <c r="BG22" s="84"/>
      <c r="BH22" s="84"/>
      <c r="BI22" s="84"/>
      <c r="BJ22" s="84"/>
    </row>
    <row r="23" spans="5:62" s="21" customFormat="1" ht="41.25" hidden="1" customHeight="1" outlineLevel="1" x14ac:dyDescent="0.3">
      <c r="E23" s="321" t="s">
        <v>399</v>
      </c>
      <c r="F23" s="322" t="s">
        <v>400</v>
      </c>
      <c r="G23" s="323" t="s">
        <v>19</v>
      </c>
      <c r="H23" s="324">
        <v>0</v>
      </c>
      <c r="I23" s="325"/>
      <c r="J23" s="325"/>
      <c r="K23" s="325">
        <f t="shared" si="0"/>
        <v>0</v>
      </c>
      <c r="L23" s="326">
        <f t="shared" si="1"/>
        <v>0</v>
      </c>
      <c r="M23" s="324">
        <v>0</v>
      </c>
      <c r="N23" s="327"/>
      <c r="O23" s="328">
        <f>N23</f>
        <v>0</v>
      </c>
      <c r="P23" s="329">
        <v>0</v>
      </c>
      <c r="Q23" s="328"/>
      <c r="R23" s="330"/>
      <c r="S23" s="330"/>
      <c r="T23" s="331">
        <f t="shared" si="3"/>
        <v>0</v>
      </c>
      <c r="U23" s="331">
        <f t="shared" si="8"/>
        <v>0</v>
      </c>
      <c r="V23" s="331">
        <f>R23</f>
        <v>0</v>
      </c>
      <c r="W23" s="331">
        <f t="shared" si="2"/>
        <v>0</v>
      </c>
      <c r="X23" s="331"/>
      <c r="Y23" s="331">
        <v>0</v>
      </c>
      <c r="Z23" s="331">
        <v>0</v>
      </c>
      <c r="AA23" s="331">
        <v>0</v>
      </c>
      <c r="AB23" s="331">
        <f t="shared" si="4"/>
        <v>0</v>
      </c>
      <c r="AC23" s="331"/>
      <c r="AD23" s="331"/>
      <c r="AE23" s="331"/>
      <c r="AF23" s="331"/>
      <c r="AG23" s="331">
        <f t="shared" si="5"/>
        <v>0</v>
      </c>
      <c r="AH23" s="331"/>
      <c r="AI23" s="331"/>
      <c r="AJ23" s="331"/>
      <c r="AK23" s="331"/>
      <c r="AL23" s="331">
        <f t="shared" si="6"/>
        <v>0</v>
      </c>
      <c r="AM23" s="331"/>
      <c r="AN23" s="331"/>
      <c r="AO23" s="331"/>
      <c r="AP23" s="331"/>
      <c r="AQ23" s="331">
        <f t="shared" si="7"/>
        <v>0</v>
      </c>
      <c r="AR23" s="20"/>
      <c r="AS23" s="20"/>
      <c r="AT23" s="79">
        <v>1.071</v>
      </c>
      <c r="AU23" s="79">
        <v>1.0369999999999999</v>
      </c>
      <c r="AV23" s="79">
        <v>1.0289999999999999</v>
      </c>
      <c r="AW23" s="182">
        <v>1.0449999999999999</v>
      </c>
      <c r="AX23" s="182">
        <v>1.034</v>
      </c>
      <c r="AY23" s="182">
        <v>1.0669999999999999</v>
      </c>
      <c r="AZ23" s="182">
        <v>1.1379999999999999</v>
      </c>
      <c r="BA23" s="182">
        <v>1.0580000000000001</v>
      </c>
      <c r="BB23" s="182">
        <v>1.0720000000000001</v>
      </c>
      <c r="BC23" s="182">
        <v>1.042</v>
      </c>
      <c r="BD23" s="22">
        <v>1.042</v>
      </c>
      <c r="BE23" s="22">
        <v>1.04</v>
      </c>
      <c r="BF23" s="22">
        <v>1.04</v>
      </c>
      <c r="BG23" s="6"/>
      <c r="BH23" s="6"/>
      <c r="BI23" s="6"/>
      <c r="BJ23" s="6"/>
    </row>
    <row r="24" spans="5:62" s="21" customFormat="1" ht="22.5" hidden="1" customHeight="1" outlineLevel="1" thickBot="1" x14ac:dyDescent="0.35">
      <c r="E24" s="332" t="s">
        <v>401</v>
      </c>
      <c r="F24" s="333" t="s">
        <v>402</v>
      </c>
      <c r="G24" s="334" t="s">
        <v>19</v>
      </c>
      <c r="H24" s="335">
        <v>0</v>
      </c>
      <c r="I24" s="336"/>
      <c r="J24" s="336"/>
      <c r="K24" s="336">
        <f t="shared" si="0"/>
        <v>0</v>
      </c>
      <c r="L24" s="337">
        <f t="shared" si="1"/>
        <v>0</v>
      </c>
      <c r="M24" s="335">
        <v>0</v>
      </c>
      <c r="N24" s="338"/>
      <c r="O24" s="339">
        <f>N24</f>
        <v>0</v>
      </c>
      <c r="P24" s="340">
        <v>0</v>
      </c>
      <c r="Q24" s="339"/>
      <c r="R24" s="341"/>
      <c r="S24" s="341"/>
      <c r="T24" s="342">
        <f t="shared" si="3"/>
        <v>0</v>
      </c>
      <c r="U24" s="342">
        <f t="shared" si="8"/>
        <v>0</v>
      </c>
      <c r="V24" s="342">
        <f>R24</f>
        <v>0</v>
      </c>
      <c r="W24" s="342">
        <f t="shared" si="2"/>
        <v>0</v>
      </c>
      <c r="X24" s="342"/>
      <c r="Y24" s="342">
        <v>0</v>
      </c>
      <c r="Z24" s="342">
        <v>0</v>
      </c>
      <c r="AA24" s="342">
        <v>0</v>
      </c>
      <c r="AB24" s="342">
        <f>W24</f>
        <v>0</v>
      </c>
      <c r="AC24" s="342"/>
      <c r="AD24" s="342"/>
      <c r="AE24" s="342"/>
      <c r="AF24" s="342"/>
      <c r="AG24" s="342">
        <f>AB24</f>
        <v>0</v>
      </c>
      <c r="AH24" s="342"/>
      <c r="AI24" s="342"/>
      <c r="AJ24" s="342"/>
      <c r="AK24" s="342"/>
      <c r="AL24" s="342">
        <f>AG24</f>
        <v>0</v>
      </c>
      <c r="AM24" s="342"/>
      <c r="AN24" s="342"/>
      <c r="AO24" s="342"/>
      <c r="AP24" s="342"/>
      <c r="AQ24" s="342">
        <f>AL24</f>
        <v>0</v>
      </c>
      <c r="AR24" s="20"/>
      <c r="AS24" s="20"/>
      <c r="AT24" s="80"/>
      <c r="AU24" s="80"/>
      <c r="AV24" s="81"/>
      <c r="AW24" s="183">
        <f>H25</f>
        <v>392.22270917894139</v>
      </c>
      <c r="AX24" s="79">
        <f>AW24*AX23*0.99</f>
        <v>401.50269847811518</v>
      </c>
      <c r="AY24" s="79">
        <f t="shared" ref="AY24" si="12">AX24*AY23*0.99</f>
        <v>424.11934548338741</v>
      </c>
      <c r="AZ24" s="79">
        <f>AS74/2</f>
        <v>0</v>
      </c>
      <c r="BA24" s="79">
        <f t="shared" ref="BA24" si="13">AZ24*BA23*0.99</f>
        <v>0</v>
      </c>
      <c r="BB24" s="183">
        <f>W25</f>
        <v>402.30772496023371</v>
      </c>
      <c r="BC24" s="79">
        <f>BB24*BC23*0.99</f>
        <v>415.01260291447795</v>
      </c>
      <c r="BD24" s="79">
        <f t="shared" ref="BD24:BF24" si="14">BC24*BD23*0.99</f>
        <v>428.11870091451715</v>
      </c>
      <c r="BE24" s="79">
        <f t="shared" si="14"/>
        <v>440.79101446158683</v>
      </c>
      <c r="BF24" s="79">
        <f t="shared" si="14"/>
        <v>453.8384284896498</v>
      </c>
      <c r="BG24" s="6"/>
      <c r="BH24" s="6"/>
      <c r="BI24" s="6"/>
      <c r="BJ24" s="6"/>
    </row>
    <row r="25" spans="5:62" s="21" customFormat="1" ht="22.5" customHeight="1" x14ac:dyDescent="0.3">
      <c r="E25" s="343">
        <v>1</v>
      </c>
      <c r="F25" s="344" t="s">
        <v>30</v>
      </c>
      <c r="G25" s="345" t="s">
        <v>31</v>
      </c>
      <c r="H25" s="346">
        <v>392.22270917894139</v>
      </c>
      <c r="I25" s="347"/>
      <c r="J25" s="347"/>
      <c r="K25" s="347">
        <f>J25/6*5</f>
        <v>0</v>
      </c>
      <c r="L25" s="348">
        <f>P25/P$17*$L$17</f>
        <v>0</v>
      </c>
      <c r="M25" s="346">
        <v>464.12259700267106</v>
      </c>
      <c r="N25" s="349">
        <f t="shared" ref="N25" si="15">N26+N30+N31+N42+N43+N44+N50+N59+N72</f>
        <v>322.00349999999997</v>
      </c>
      <c r="O25" s="350">
        <f>AZ25</f>
        <v>424.11934548338741</v>
      </c>
      <c r="P25" s="351">
        <v>491.20302654720348</v>
      </c>
      <c r="Q25" s="350"/>
      <c r="R25" s="349">
        <f t="shared" ref="R25:AQ25" si="16">R26+R30+R31+R42+R43+R44+R50+R59+R72</f>
        <v>767.52798298632001</v>
      </c>
      <c r="S25" s="349">
        <f t="shared" si="16"/>
        <v>1003.7168447323278</v>
      </c>
      <c r="T25" s="349">
        <f>T26+T30+T31+T42+T43+T44+T50+T59+T72</f>
        <v>200.21992957814939</v>
      </c>
      <c r="U25" s="349">
        <f t="shared" si="16"/>
        <v>202.08779538208435</v>
      </c>
      <c r="V25" s="349">
        <f t="shared" si="16"/>
        <v>404.1755907641687</v>
      </c>
      <c r="W25" s="349">
        <f t="shared" si="16"/>
        <v>402.30772496023371</v>
      </c>
      <c r="X25" s="349">
        <f t="shared" si="16"/>
        <v>0</v>
      </c>
      <c r="Y25" s="349">
        <f t="shared" si="16"/>
        <v>0</v>
      </c>
      <c r="Z25" s="349">
        <f t="shared" si="16"/>
        <v>0</v>
      </c>
      <c r="AA25" s="349">
        <f t="shared" si="16"/>
        <v>0</v>
      </c>
      <c r="AB25" s="349">
        <f t="shared" si="16"/>
        <v>415.41088756218846</v>
      </c>
      <c r="AC25" s="349">
        <f t="shared" si="16"/>
        <v>0</v>
      </c>
      <c r="AD25" s="349">
        <f t="shared" si="16"/>
        <v>0</v>
      </c>
      <c r="AE25" s="349">
        <f t="shared" si="16"/>
        <v>0</v>
      </c>
      <c r="AF25" s="349">
        <f t="shared" si="16"/>
        <v>0</v>
      </c>
      <c r="AG25" s="349">
        <f t="shared" si="16"/>
        <v>427.70704983402936</v>
      </c>
      <c r="AH25" s="349">
        <f t="shared" si="16"/>
        <v>0</v>
      </c>
      <c r="AI25" s="349">
        <f t="shared" si="16"/>
        <v>0</v>
      </c>
      <c r="AJ25" s="349">
        <f t="shared" si="16"/>
        <v>0</v>
      </c>
      <c r="AK25" s="349">
        <f t="shared" si="16"/>
        <v>0</v>
      </c>
      <c r="AL25" s="349">
        <f t="shared" si="16"/>
        <v>440.36717850911657</v>
      </c>
      <c r="AM25" s="349">
        <f t="shared" si="16"/>
        <v>0</v>
      </c>
      <c r="AN25" s="349">
        <f t="shared" si="16"/>
        <v>0</v>
      </c>
      <c r="AO25" s="349">
        <f t="shared" si="16"/>
        <v>0</v>
      </c>
      <c r="AP25" s="349">
        <f t="shared" si="16"/>
        <v>0</v>
      </c>
      <c r="AQ25" s="349">
        <f t="shared" si="16"/>
        <v>453.40204699298647</v>
      </c>
      <c r="AR25" s="23" t="s">
        <v>361</v>
      </c>
      <c r="AS25" s="23"/>
      <c r="AT25" s="24"/>
      <c r="AU25" s="33"/>
      <c r="AV25" s="71"/>
      <c r="AW25" s="24"/>
      <c r="AX25" s="24" t="s">
        <v>362</v>
      </c>
      <c r="AY25" s="24"/>
      <c r="AZ25" s="79">
        <f>AZ24+AY24</f>
        <v>424.11934548338741</v>
      </c>
      <c r="BA25" s="24"/>
      <c r="BB25" s="24"/>
      <c r="BC25" s="24"/>
      <c r="BE25" s="6"/>
      <c r="BF25" s="6"/>
      <c r="BG25" s="6"/>
      <c r="BH25" s="6"/>
      <c r="BI25" s="6"/>
      <c r="BJ25" s="6"/>
    </row>
    <row r="26" spans="5:62" s="21" customFormat="1" ht="22.5" hidden="1" customHeight="1" outlineLevel="1" x14ac:dyDescent="0.3">
      <c r="E26" s="352" t="s">
        <v>18</v>
      </c>
      <c r="F26" s="353" t="s">
        <v>32</v>
      </c>
      <c r="G26" s="354" t="s">
        <v>31</v>
      </c>
      <c r="H26" s="355"/>
      <c r="I26" s="356"/>
      <c r="J26" s="356"/>
      <c r="K26" s="356"/>
      <c r="L26" s="357"/>
      <c r="M26" s="292"/>
      <c r="N26" s="358"/>
      <c r="O26" s="359"/>
      <c r="P26" s="360" t="e">
        <v>#REF!</v>
      </c>
      <c r="Q26" s="359"/>
      <c r="R26" s="360"/>
      <c r="S26" s="361"/>
      <c r="T26" s="362">
        <f>SUM(T27:T29)</f>
        <v>0</v>
      </c>
      <c r="U26" s="362">
        <f t="shared" ref="U26:AQ26" si="17">SUM(U27:U29)</f>
        <v>0</v>
      </c>
      <c r="V26" s="362">
        <f t="shared" si="17"/>
        <v>0</v>
      </c>
      <c r="W26" s="362">
        <f t="shared" si="17"/>
        <v>0</v>
      </c>
      <c r="X26" s="362">
        <f t="shared" si="17"/>
        <v>0</v>
      </c>
      <c r="Y26" s="362">
        <f t="shared" si="17"/>
        <v>0</v>
      </c>
      <c r="Z26" s="362">
        <f t="shared" si="17"/>
        <v>0</v>
      </c>
      <c r="AA26" s="362">
        <f t="shared" si="17"/>
        <v>0</v>
      </c>
      <c r="AB26" s="362">
        <f t="shared" si="17"/>
        <v>0</v>
      </c>
      <c r="AC26" s="362">
        <f t="shared" si="17"/>
        <v>0</v>
      </c>
      <c r="AD26" s="362">
        <f t="shared" si="17"/>
        <v>0</v>
      </c>
      <c r="AE26" s="362">
        <f t="shared" si="17"/>
        <v>0</v>
      </c>
      <c r="AF26" s="362">
        <f t="shared" si="17"/>
        <v>0</v>
      </c>
      <c r="AG26" s="362">
        <f t="shared" si="17"/>
        <v>0</v>
      </c>
      <c r="AH26" s="362">
        <f t="shared" si="17"/>
        <v>0</v>
      </c>
      <c r="AI26" s="362">
        <f t="shared" si="17"/>
        <v>0</v>
      </c>
      <c r="AJ26" s="362">
        <f t="shared" si="17"/>
        <v>0</v>
      </c>
      <c r="AK26" s="362">
        <f t="shared" si="17"/>
        <v>0</v>
      </c>
      <c r="AL26" s="362">
        <f t="shared" si="17"/>
        <v>0</v>
      </c>
      <c r="AM26" s="362">
        <f t="shared" si="17"/>
        <v>0</v>
      </c>
      <c r="AN26" s="362">
        <f t="shared" si="17"/>
        <v>0</v>
      </c>
      <c r="AO26" s="362">
        <f t="shared" si="17"/>
        <v>0</v>
      </c>
      <c r="AP26" s="362">
        <f t="shared" si="17"/>
        <v>0</v>
      </c>
      <c r="AQ26" s="362">
        <f t="shared" si="17"/>
        <v>0</v>
      </c>
      <c r="AR26" s="20"/>
      <c r="AS26" s="20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</row>
    <row r="27" spans="5:62" s="21" customFormat="1" ht="22.5" hidden="1" customHeight="1" outlineLevel="1" collapsed="1" x14ac:dyDescent="0.3">
      <c r="E27" s="352" t="s">
        <v>35</v>
      </c>
      <c r="F27" s="353" t="s">
        <v>34</v>
      </c>
      <c r="G27" s="354" t="s">
        <v>31</v>
      </c>
      <c r="H27" s="355"/>
      <c r="I27" s="356"/>
      <c r="J27" s="356"/>
      <c r="K27" s="356"/>
      <c r="L27" s="357"/>
      <c r="M27" s="292"/>
      <c r="N27" s="358"/>
      <c r="O27" s="359"/>
      <c r="P27" s="360" t="e">
        <v>#REF!</v>
      </c>
      <c r="Q27" s="359"/>
      <c r="R27" s="360"/>
      <c r="S27" s="361"/>
      <c r="T27" s="362">
        <f>W27/2/(1+$W$183)</f>
        <v>0</v>
      </c>
      <c r="U27" s="362">
        <f>$V27/IF($V$22=0,$V$17,$V$22)*IF($U$22=0,$U$17,U$22)</f>
        <v>0</v>
      </c>
      <c r="V27" s="362">
        <f t="shared" ref="V27:V30" si="18">(W27-T27)*2</f>
        <v>0</v>
      </c>
      <c r="W27" s="359">
        <v>0</v>
      </c>
      <c r="X27" s="361"/>
      <c r="Y27" s="362"/>
      <c r="Z27" s="362"/>
      <c r="AA27" s="362"/>
      <c r="AB27" s="297">
        <v>0</v>
      </c>
      <c r="AC27" s="358"/>
      <c r="AD27" s="362"/>
      <c r="AE27" s="362"/>
      <c r="AF27" s="362"/>
      <c r="AG27" s="297">
        <v>0</v>
      </c>
      <c r="AH27" s="358"/>
      <c r="AI27" s="362"/>
      <c r="AJ27" s="362"/>
      <c r="AK27" s="362"/>
      <c r="AL27" s="297">
        <v>0</v>
      </c>
      <c r="AM27" s="358"/>
      <c r="AN27" s="362"/>
      <c r="AO27" s="362"/>
      <c r="AP27" s="362"/>
      <c r="AQ27" s="298">
        <v>0</v>
      </c>
      <c r="AR27" s="20"/>
      <c r="AS27" s="20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</row>
    <row r="28" spans="5:62" s="21" customFormat="1" ht="22.5" hidden="1" customHeight="1" outlineLevel="2" x14ac:dyDescent="0.3">
      <c r="E28" s="352" t="s">
        <v>37</v>
      </c>
      <c r="F28" s="353" t="s">
        <v>36</v>
      </c>
      <c r="G28" s="354" t="s">
        <v>31</v>
      </c>
      <c r="H28" s="355"/>
      <c r="I28" s="356"/>
      <c r="J28" s="356"/>
      <c r="K28" s="356"/>
      <c r="L28" s="357"/>
      <c r="M28" s="292"/>
      <c r="N28" s="358"/>
      <c r="O28" s="359"/>
      <c r="P28" s="360" t="e">
        <v>#REF!</v>
      </c>
      <c r="Q28" s="359"/>
      <c r="R28" s="360"/>
      <c r="S28" s="361"/>
      <c r="T28" s="362">
        <f>W28/2/(1+$W$183)</f>
        <v>0</v>
      </c>
      <c r="U28" s="362">
        <f t="shared" ref="U28:U29" si="19">$V28/IF($V$22=0,$V$17,$V$22)*IF($U$22=0,$U$17,U$22)</f>
        <v>0</v>
      </c>
      <c r="V28" s="362">
        <f t="shared" si="18"/>
        <v>0</v>
      </c>
      <c r="W28" s="363">
        <f>R28</f>
        <v>0</v>
      </c>
      <c r="X28" s="361"/>
      <c r="Y28" s="362"/>
      <c r="Z28" s="362"/>
      <c r="AA28" s="362"/>
      <c r="AB28" s="297">
        <f>W28*(1+$AB$183)*0.99</f>
        <v>0</v>
      </c>
      <c r="AC28" s="358"/>
      <c r="AD28" s="362"/>
      <c r="AE28" s="362"/>
      <c r="AF28" s="362"/>
      <c r="AG28" s="297">
        <f>AB28*(1+$AG$183)*0.99</f>
        <v>0</v>
      </c>
      <c r="AH28" s="358"/>
      <c r="AI28" s="362"/>
      <c r="AJ28" s="362"/>
      <c r="AK28" s="362"/>
      <c r="AL28" s="297">
        <f>AG28*(1+$AL$183)*0.99</f>
        <v>0</v>
      </c>
      <c r="AM28" s="358"/>
      <c r="AN28" s="362"/>
      <c r="AO28" s="362"/>
      <c r="AP28" s="362"/>
      <c r="AQ28" s="298">
        <f>AL28*(1+$AQ$183)*0.99</f>
        <v>0</v>
      </c>
      <c r="AR28" s="20"/>
      <c r="AS28" s="20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</row>
    <row r="29" spans="5:62" s="21" customFormat="1" ht="22.5" hidden="1" customHeight="1" outlineLevel="2" x14ac:dyDescent="0.3">
      <c r="E29" s="352" t="s">
        <v>406</v>
      </c>
      <c r="F29" s="353" t="s">
        <v>38</v>
      </c>
      <c r="G29" s="354" t="s">
        <v>31</v>
      </c>
      <c r="H29" s="355"/>
      <c r="I29" s="356"/>
      <c r="J29" s="356"/>
      <c r="K29" s="356"/>
      <c r="L29" s="357"/>
      <c r="M29" s="292"/>
      <c r="N29" s="358"/>
      <c r="O29" s="359"/>
      <c r="P29" s="360" t="e">
        <v>#REF!</v>
      </c>
      <c r="Q29" s="359"/>
      <c r="R29" s="360"/>
      <c r="S29" s="361"/>
      <c r="T29" s="362">
        <f>W29/2/(1+$W$183)</f>
        <v>0</v>
      </c>
      <c r="U29" s="362">
        <f t="shared" si="19"/>
        <v>0</v>
      </c>
      <c r="V29" s="362">
        <f t="shared" si="18"/>
        <v>0</v>
      </c>
      <c r="W29" s="363">
        <f>R29</f>
        <v>0</v>
      </c>
      <c r="X29" s="361"/>
      <c r="Y29" s="362"/>
      <c r="Z29" s="362"/>
      <c r="AA29" s="362"/>
      <c r="AB29" s="297">
        <f>W29*(1+$AB$183)*0.99</f>
        <v>0</v>
      </c>
      <c r="AC29" s="358"/>
      <c r="AD29" s="362"/>
      <c r="AE29" s="362"/>
      <c r="AF29" s="362"/>
      <c r="AG29" s="297">
        <f>AB29*(1+$AG$183)*0.99</f>
        <v>0</v>
      </c>
      <c r="AH29" s="358"/>
      <c r="AI29" s="362"/>
      <c r="AJ29" s="362"/>
      <c r="AK29" s="362"/>
      <c r="AL29" s="297">
        <f>AG29*(1+$AL$183)*0.99</f>
        <v>0</v>
      </c>
      <c r="AM29" s="358"/>
      <c r="AN29" s="362"/>
      <c r="AO29" s="362"/>
      <c r="AP29" s="362"/>
      <c r="AQ29" s="298">
        <f>AL29*(1+$AQ$183)*0.99</f>
        <v>0</v>
      </c>
      <c r="AR29" s="20"/>
      <c r="AS29" s="20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</row>
    <row r="30" spans="5:62" s="21" customFormat="1" ht="60.75" hidden="1" outlineLevel="1" x14ac:dyDescent="0.3">
      <c r="E30" s="352" t="s">
        <v>20</v>
      </c>
      <c r="F30" s="353" t="s">
        <v>39</v>
      </c>
      <c r="G30" s="354" t="s">
        <v>31</v>
      </c>
      <c r="H30" s="355"/>
      <c r="I30" s="356"/>
      <c r="J30" s="356"/>
      <c r="K30" s="356"/>
      <c r="L30" s="357"/>
      <c r="M30" s="292"/>
      <c r="N30" s="293"/>
      <c r="O30" s="309"/>
      <c r="P30" s="360" t="e">
        <v>#REF!</v>
      </c>
      <c r="Q30" s="309"/>
      <c r="R30" s="363">
        <f>N30</f>
        <v>0</v>
      </c>
      <c r="S30" s="364"/>
      <c r="T30" s="362">
        <f>W30/2/(1+$W$183)</f>
        <v>0</v>
      </c>
      <c r="U30" s="362">
        <f>$V30/IF($V$22=0,$V$17,$V$22)*IF($U$22=0,$U$17,U$22)</f>
        <v>0</v>
      </c>
      <c r="V30" s="362">
        <f t="shared" si="18"/>
        <v>0</v>
      </c>
      <c r="W30" s="363">
        <f>R30</f>
        <v>0</v>
      </c>
      <c r="X30" s="361"/>
      <c r="Y30" s="362"/>
      <c r="Z30" s="362"/>
      <c r="AA30" s="293"/>
      <c r="AB30" s="297">
        <f>W30*(1+$AB$183)*0.99</f>
        <v>0</v>
      </c>
      <c r="AC30" s="358"/>
      <c r="AD30" s="362"/>
      <c r="AE30" s="362"/>
      <c r="AF30" s="293"/>
      <c r="AG30" s="297">
        <f>AB30*(1+$AG$183)*0.99</f>
        <v>0</v>
      </c>
      <c r="AH30" s="358"/>
      <c r="AI30" s="362"/>
      <c r="AJ30" s="362"/>
      <c r="AK30" s="293"/>
      <c r="AL30" s="297">
        <f>AG30*(1+$AL$183)*0.99</f>
        <v>0</v>
      </c>
      <c r="AM30" s="358"/>
      <c r="AN30" s="362"/>
      <c r="AO30" s="362"/>
      <c r="AP30" s="293"/>
      <c r="AQ30" s="298">
        <f>AL30*(1+$AQ$183)*0.99</f>
        <v>0</v>
      </c>
      <c r="AR30" s="20"/>
      <c r="AS30" s="20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</row>
    <row r="31" spans="5:62" s="21" customFormat="1" ht="33.75" customHeight="1" outlineLevel="1" x14ac:dyDescent="0.3">
      <c r="E31" s="352" t="s">
        <v>21</v>
      </c>
      <c r="F31" s="353" t="s">
        <v>40</v>
      </c>
      <c r="G31" s="354" t="s">
        <v>31</v>
      </c>
      <c r="H31" s="355">
        <v>168.42898063031035</v>
      </c>
      <c r="I31" s="356"/>
      <c r="J31" s="356"/>
      <c r="K31" s="356"/>
      <c r="L31" s="357"/>
      <c r="M31" s="365">
        <f>H31/$H$25*$M$25</f>
        <v>199.30435966926237</v>
      </c>
      <c r="N31" s="366">
        <f>N32+N36+N37+N41</f>
        <v>245.32283999999999</v>
      </c>
      <c r="O31" s="359"/>
      <c r="P31" s="360">
        <v>210.93328638991187</v>
      </c>
      <c r="Q31" s="359"/>
      <c r="R31" s="366">
        <f>R32+R36+R37+R41</f>
        <v>518.72895359712004</v>
      </c>
      <c r="S31" s="367">
        <f>S32+S36+S37+S41</f>
        <v>735.91517300153578</v>
      </c>
      <c r="T31" s="362">
        <f>T32+T36+T37+T41</f>
        <v>153.30695431951222</v>
      </c>
      <c r="U31" s="362">
        <f t="shared" ref="U31" si="20">U32+U36+U37+U41</f>
        <v>153.30695431951222</v>
      </c>
      <c r="V31" s="362">
        <f>V32+V36+V37+V41</f>
        <v>306.61390863902443</v>
      </c>
      <c r="W31" s="366">
        <f>W32+W36+W37+W41</f>
        <v>306.61390863902443</v>
      </c>
      <c r="X31" s="361"/>
      <c r="Y31" s="362"/>
      <c r="Z31" s="362"/>
      <c r="AA31" s="362"/>
      <c r="AB31" s="358">
        <f t="shared" ref="AB31:AQ31" si="21">AB32+AB36+AB37+AB41</f>
        <v>316.60032364339742</v>
      </c>
      <c r="AC31" s="358"/>
      <c r="AD31" s="362"/>
      <c r="AE31" s="362"/>
      <c r="AF31" s="362"/>
      <c r="AG31" s="358">
        <f>AG32+AG36+AG37+AG41</f>
        <v>325.97169322324203</v>
      </c>
      <c r="AH31" s="358"/>
      <c r="AI31" s="362"/>
      <c r="AJ31" s="362"/>
      <c r="AK31" s="362"/>
      <c r="AL31" s="358">
        <f t="shared" si="21"/>
        <v>335.62045534264996</v>
      </c>
      <c r="AM31" s="358"/>
      <c r="AN31" s="362"/>
      <c r="AO31" s="362"/>
      <c r="AP31" s="362"/>
      <c r="AQ31" s="359">
        <f t="shared" si="21"/>
        <v>345.55482082079243</v>
      </c>
      <c r="AR31" s="20"/>
      <c r="AS31" s="20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</row>
    <row r="32" spans="5:62" s="21" customFormat="1" ht="33" customHeight="1" outlineLevel="2" x14ac:dyDescent="0.3">
      <c r="E32" s="352" t="s">
        <v>41</v>
      </c>
      <c r="F32" s="353" t="s">
        <v>42</v>
      </c>
      <c r="G32" s="354" t="s">
        <v>31</v>
      </c>
      <c r="H32" s="355">
        <v>119.88991563119998</v>
      </c>
      <c r="I32" s="356"/>
      <c r="J32" s="356"/>
      <c r="K32" s="356"/>
      <c r="L32" s="357"/>
      <c r="M32" s="365">
        <f>H32/$H$25*$M$25</f>
        <v>141.86740771248336</v>
      </c>
      <c r="N32" s="358">
        <v>188.42</v>
      </c>
      <c r="O32" s="359"/>
      <c r="P32" s="360">
        <v>150.14502738460038</v>
      </c>
      <c r="Q32" s="359"/>
      <c r="R32" s="363">
        <f>R33*R34*12/1000</f>
        <v>372.95591999999999</v>
      </c>
      <c r="S32" s="364">
        <v>531.25604999999996</v>
      </c>
      <c r="T32" s="362">
        <f>W32/2</f>
        <v>111.6610799874987</v>
      </c>
      <c r="U32" s="362">
        <f>$V32/IF($V$22=0,$V$18,$V$22)*IF($U$22=0,$U$18,U$22)</f>
        <v>111.6610799874987</v>
      </c>
      <c r="V32" s="362">
        <f>(W32-T32)*2</f>
        <v>223.32215997499739</v>
      </c>
      <c r="W32" s="363">
        <f>W33*W34*12/1000</f>
        <v>223.32215997499739</v>
      </c>
      <c r="X32" s="361"/>
      <c r="Y32" s="362"/>
      <c r="Z32" s="362"/>
      <c r="AA32" s="362"/>
      <c r="AB32" s="297">
        <f>W32*(1+$AB$183)*0.99</f>
        <v>230.59576272538303</v>
      </c>
      <c r="AC32" s="358"/>
      <c r="AD32" s="362"/>
      <c r="AE32" s="362"/>
      <c r="AF32" s="362"/>
      <c r="AG32" s="297">
        <f>AB32*(1+$AG$183)*0.99</f>
        <v>237.42139730205437</v>
      </c>
      <c r="AH32" s="358"/>
      <c r="AI32" s="362"/>
      <c r="AJ32" s="362"/>
      <c r="AK32" s="362"/>
      <c r="AL32" s="297">
        <f>AG32*(1+$AL$183)*0.99</f>
        <v>244.4490706621952</v>
      </c>
      <c r="AM32" s="358"/>
      <c r="AN32" s="362"/>
      <c r="AO32" s="362"/>
      <c r="AP32" s="362"/>
      <c r="AQ32" s="298">
        <f>AL32*(1+$AQ$183)*0.99</f>
        <v>251.68476315379618</v>
      </c>
      <c r="AR32" s="20"/>
      <c r="AS32" s="20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</row>
    <row r="33" spans="5:62" s="21" customFormat="1" ht="22.5" customHeight="1" outlineLevel="2" x14ac:dyDescent="0.3">
      <c r="E33" s="352"/>
      <c r="F33" s="368" t="s">
        <v>43</v>
      </c>
      <c r="G33" s="369" t="s">
        <v>44</v>
      </c>
      <c r="H33" s="299">
        <v>0.40770000000000001</v>
      </c>
      <c r="I33" s="297"/>
      <c r="J33" s="297"/>
      <c r="K33" s="297"/>
      <c r="L33" s="298"/>
      <c r="M33" s="299">
        <v>0.40770000000000001</v>
      </c>
      <c r="N33" s="358">
        <f>N32/N34/12*1000</f>
        <v>0.495685051367935</v>
      </c>
      <c r="O33" s="359"/>
      <c r="P33" s="360">
        <v>0.40770000000000001</v>
      </c>
      <c r="Q33" s="359"/>
      <c r="R33" s="360">
        <v>1</v>
      </c>
      <c r="S33" s="361">
        <f>R33</f>
        <v>1</v>
      </c>
      <c r="T33" s="362">
        <f>V33</f>
        <v>0.495685051367935</v>
      </c>
      <c r="U33" s="362"/>
      <c r="V33" s="362">
        <f>W33</f>
        <v>0.495685051367935</v>
      </c>
      <c r="W33" s="366">
        <f>N33</f>
        <v>0.495685051367935</v>
      </c>
      <c r="X33" s="361"/>
      <c r="Y33" s="362"/>
      <c r="Z33" s="362"/>
      <c r="AA33" s="362"/>
      <c r="AB33" s="358">
        <f>W33</f>
        <v>0.495685051367935</v>
      </c>
      <c r="AC33" s="358"/>
      <c r="AD33" s="362"/>
      <c r="AE33" s="362"/>
      <c r="AF33" s="362"/>
      <c r="AG33" s="358">
        <f>AB33</f>
        <v>0.495685051367935</v>
      </c>
      <c r="AH33" s="358"/>
      <c r="AI33" s="362"/>
      <c r="AJ33" s="362"/>
      <c r="AK33" s="362"/>
      <c r="AL33" s="358">
        <f>AG33</f>
        <v>0.495685051367935</v>
      </c>
      <c r="AM33" s="358"/>
      <c r="AN33" s="362"/>
      <c r="AO33" s="362"/>
      <c r="AP33" s="362"/>
      <c r="AQ33" s="359">
        <f>AL33</f>
        <v>0.495685051367935</v>
      </c>
      <c r="AR33" s="20"/>
      <c r="AS33" s="20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</row>
    <row r="34" spans="5:62" s="21" customFormat="1" ht="36" customHeight="1" outlineLevel="2" x14ac:dyDescent="0.3">
      <c r="E34" s="352"/>
      <c r="F34" s="368" t="s">
        <v>45</v>
      </c>
      <c r="G34" s="369" t="s">
        <v>46</v>
      </c>
      <c r="H34" s="299">
        <v>24505.337999999996</v>
      </c>
      <c r="I34" s="297"/>
      <c r="J34" s="297"/>
      <c r="K34" s="297"/>
      <c r="L34" s="298"/>
      <c r="M34" s="365">
        <f>H34/$H$25*$M$25</f>
        <v>28997.507912779689</v>
      </c>
      <c r="N34" s="358">
        <f>15838.35*2</f>
        <v>31676.7</v>
      </c>
      <c r="O34" s="359"/>
      <c r="P34" s="360">
        <v>30689.442274670997</v>
      </c>
      <c r="Q34" s="359"/>
      <c r="R34" s="360">
        <v>31079.66</v>
      </c>
      <c r="S34" s="361">
        <f>S32/S33/12*1000</f>
        <v>44271.337499999994</v>
      </c>
      <c r="T34" s="362">
        <f>T32/T33/6*1000</f>
        <v>37544.363999999994</v>
      </c>
      <c r="U34" s="362"/>
      <c r="V34" s="362">
        <f>V32/V33/12*1000</f>
        <v>37544.363999999994</v>
      </c>
      <c r="W34" s="366">
        <f>22440*1.352*1.1*1.125</f>
        <v>37544.364000000001</v>
      </c>
      <c r="X34" s="361"/>
      <c r="Y34" s="362"/>
      <c r="Z34" s="362"/>
      <c r="AA34" s="362"/>
      <c r="AB34" s="362">
        <f>AB32/12/AB33*1000</f>
        <v>38767.183935479996</v>
      </c>
      <c r="AC34" s="358"/>
      <c r="AD34" s="362"/>
      <c r="AE34" s="362"/>
      <c r="AF34" s="362"/>
      <c r="AG34" s="362">
        <f>AG32/12/AG33*1000</f>
        <v>39914.6925799702</v>
      </c>
      <c r="AH34" s="358"/>
      <c r="AI34" s="362"/>
      <c r="AJ34" s="362"/>
      <c r="AK34" s="362"/>
      <c r="AL34" s="362">
        <f>AL32/12/AL33*1000</f>
        <v>41096.167480337332</v>
      </c>
      <c r="AM34" s="358"/>
      <c r="AN34" s="362"/>
      <c r="AO34" s="362"/>
      <c r="AP34" s="362"/>
      <c r="AQ34" s="370">
        <f>AQ32/12/AQ33*1000</f>
        <v>42312.614037755309</v>
      </c>
      <c r="AR34" s="20">
        <f>W34/N34</f>
        <v>1.1852359620793833</v>
      </c>
      <c r="AS34" s="20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</row>
    <row r="35" spans="5:62" s="21" customFormat="1" ht="22.5" customHeight="1" outlineLevel="2" x14ac:dyDescent="0.3">
      <c r="E35" s="653"/>
      <c r="F35" s="641" t="s">
        <v>47</v>
      </c>
      <c r="G35" s="354" t="s">
        <v>24</v>
      </c>
      <c r="H35" s="371">
        <v>0.30199999999999999</v>
      </c>
      <c r="I35" s="372"/>
      <c r="J35" s="372"/>
      <c r="K35" s="372"/>
      <c r="L35" s="373"/>
      <c r="M35" s="371">
        <v>0.30199999999999999</v>
      </c>
      <c r="N35" s="72">
        <f>N36/N32</f>
        <v>0.30199999999999999</v>
      </c>
      <c r="O35" s="74"/>
      <c r="P35" s="371">
        <v>0.30199999999999999</v>
      </c>
      <c r="Q35" s="74"/>
      <c r="R35" s="371">
        <v>0.30199999999999999</v>
      </c>
      <c r="S35" s="374">
        <f>R35</f>
        <v>0.30199999999999999</v>
      </c>
      <c r="T35" s="375">
        <f>V35</f>
        <v>0.30199999999999999</v>
      </c>
      <c r="U35" s="375"/>
      <c r="V35" s="376">
        <f>W35</f>
        <v>0.30199999999999999</v>
      </c>
      <c r="W35" s="377">
        <f>R35</f>
        <v>0.30199999999999999</v>
      </c>
      <c r="X35" s="378"/>
      <c r="Y35" s="375"/>
      <c r="Z35" s="375"/>
      <c r="AA35" s="376"/>
      <c r="AB35" s="72">
        <f>W35</f>
        <v>0.30199999999999999</v>
      </c>
      <c r="AC35" s="72"/>
      <c r="AD35" s="375"/>
      <c r="AE35" s="375"/>
      <c r="AF35" s="376"/>
      <c r="AG35" s="72">
        <f>AB35</f>
        <v>0.30199999999999999</v>
      </c>
      <c r="AH35" s="72"/>
      <c r="AI35" s="375"/>
      <c r="AJ35" s="375"/>
      <c r="AK35" s="376"/>
      <c r="AL35" s="72">
        <f>AG35</f>
        <v>0.30199999999999999</v>
      </c>
      <c r="AM35" s="72"/>
      <c r="AN35" s="375"/>
      <c r="AO35" s="375"/>
      <c r="AP35" s="376"/>
      <c r="AQ35" s="74">
        <f>AL35</f>
        <v>0.30199999999999999</v>
      </c>
      <c r="AR35" s="20" t="s">
        <v>415</v>
      </c>
      <c r="AS35" s="20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</row>
    <row r="36" spans="5:62" s="21" customFormat="1" ht="22.5" customHeight="1" outlineLevel="2" x14ac:dyDescent="0.3">
      <c r="E36" s="653"/>
      <c r="F36" s="641"/>
      <c r="G36" s="354" t="s">
        <v>31</v>
      </c>
      <c r="H36" s="355">
        <v>36.206754520622397</v>
      </c>
      <c r="I36" s="356"/>
      <c r="J36" s="356"/>
      <c r="K36" s="356"/>
      <c r="L36" s="357"/>
      <c r="M36" s="365">
        <f t="shared" ref="M36:M37" si="22">H36/$H$25*$M$25</f>
        <v>42.843957129169972</v>
      </c>
      <c r="N36" s="73">
        <v>56.902839999999998</v>
      </c>
      <c r="O36" s="379"/>
      <c r="P36" s="360">
        <v>45.343798270149321</v>
      </c>
      <c r="Q36" s="379"/>
      <c r="R36" s="363">
        <f>R35*R32</f>
        <v>112.63268783999999</v>
      </c>
      <c r="S36" s="364">
        <f>S35*S32</f>
        <v>160.43932709999999</v>
      </c>
      <c r="T36" s="380">
        <f>T32*T35</f>
        <v>33.721646156224608</v>
      </c>
      <c r="U36" s="362">
        <f>$V36/IF($V$22=0,$V$18,$V$22)*IF($U$22=0,$U$18,U$22)</f>
        <v>33.721646156224608</v>
      </c>
      <c r="V36" s="380">
        <f>V32*V35</f>
        <v>67.443292312449216</v>
      </c>
      <c r="W36" s="363">
        <f>W35*W32</f>
        <v>67.443292312449216</v>
      </c>
      <c r="X36" s="381"/>
      <c r="Y36" s="362"/>
      <c r="Z36" s="362"/>
      <c r="AA36" s="380"/>
      <c r="AB36" s="297">
        <f>AB35*AB32</f>
        <v>69.639920343065668</v>
      </c>
      <c r="AC36" s="73"/>
      <c r="AD36" s="362"/>
      <c r="AE36" s="362"/>
      <c r="AF36" s="380"/>
      <c r="AG36" s="297">
        <f>AG35*AG32</f>
        <v>71.701261985220412</v>
      </c>
      <c r="AH36" s="73"/>
      <c r="AI36" s="362"/>
      <c r="AJ36" s="362"/>
      <c r="AK36" s="380"/>
      <c r="AL36" s="297">
        <f>AL35*AL32</f>
        <v>73.82361933998294</v>
      </c>
      <c r="AM36" s="73"/>
      <c r="AN36" s="362"/>
      <c r="AO36" s="362"/>
      <c r="AP36" s="380"/>
      <c r="AQ36" s="298">
        <f>AQ35*AQ32</f>
        <v>76.008798472446443</v>
      </c>
      <c r="AR36" s="20"/>
      <c r="AS36" s="20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</row>
    <row r="37" spans="5:62" s="21" customFormat="1" ht="22.5" customHeight="1" outlineLevel="2" x14ac:dyDescent="0.3">
      <c r="E37" s="352" t="s">
        <v>48</v>
      </c>
      <c r="F37" s="353" t="s">
        <v>49</v>
      </c>
      <c r="G37" s="354" t="s">
        <v>31</v>
      </c>
      <c r="H37" s="355">
        <v>9.4718206439999992</v>
      </c>
      <c r="I37" s="356"/>
      <c r="J37" s="356"/>
      <c r="K37" s="356"/>
      <c r="L37" s="357"/>
      <c r="M37" s="365">
        <f t="shared" si="22"/>
        <v>11.208137348394052</v>
      </c>
      <c r="N37" s="358"/>
      <c r="O37" s="359"/>
      <c r="P37" s="360">
        <v>11.862105019325794</v>
      </c>
      <c r="Q37" s="359"/>
      <c r="R37" s="363">
        <f>R38*R39*12/1000</f>
        <v>25.453414560000006</v>
      </c>
      <c r="S37" s="364">
        <v>33.962976882899994</v>
      </c>
      <c r="T37" s="362">
        <f>W37/2</f>
        <v>6.0861967555982446</v>
      </c>
      <c r="U37" s="362">
        <f>$V37/IF($V$22=0,$V$18,$V$22)*IF($U$22=0,$U$18,U$22)</f>
        <v>6.0861967555982446</v>
      </c>
      <c r="V37" s="362">
        <f>(W37-T37)*2</f>
        <v>12.172393511196489</v>
      </c>
      <c r="W37" s="363">
        <f>W38*W39*12/1000</f>
        <v>12.172393511196489</v>
      </c>
      <c r="X37" s="361"/>
      <c r="Y37" s="362"/>
      <c r="Z37" s="362"/>
      <c r="AA37" s="362"/>
      <c r="AB37" s="297">
        <f>W37*(1+$AB$183)*0.99</f>
        <v>12.568848367856157</v>
      </c>
      <c r="AC37" s="358"/>
      <c r="AD37" s="362"/>
      <c r="AE37" s="362"/>
      <c r="AF37" s="362"/>
      <c r="AG37" s="297">
        <f>AB37*(1+$AG$183)*0.99</f>
        <v>12.940886279544701</v>
      </c>
      <c r="AH37" s="358"/>
      <c r="AI37" s="362"/>
      <c r="AJ37" s="362"/>
      <c r="AK37" s="362"/>
      <c r="AL37" s="297">
        <f>AG37*(1+$AL$183)*0.99</f>
        <v>13.323936513419225</v>
      </c>
      <c r="AM37" s="358"/>
      <c r="AN37" s="362"/>
      <c r="AO37" s="362"/>
      <c r="AP37" s="362"/>
      <c r="AQ37" s="298">
        <f>AL37*(1+$AQ$183)*0.99</f>
        <v>13.718325034216434</v>
      </c>
      <c r="AR37" s="20"/>
      <c r="AS37" s="20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</row>
    <row r="38" spans="5:62" s="21" customFormat="1" ht="22.5" customHeight="1" outlineLevel="2" x14ac:dyDescent="0.3">
      <c r="E38" s="352"/>
      <c r="F38" s="368" t="s">
        <v>50</v>
      </c>
      <c r="G38" s="369" t="s">
        <v>44</v>
      </c>
      <c r="H38" s="299">
        <v>2.8500000000000001E-2</v>
      </c>
      <c r="I38" s="297"/>
      <c r="J38" s="297"/>
      <c r="K38" s="297"/>
      <c r="L38" s="298"/>
      <c r="M38" s="299">
        <v>2.8500000000000001E-2</v>
      </c>
      <c r="N38" s="358"/>
      <c r="O38" s="359"/>
      <c r="P38" s="360">
        <v>2.8500000000000001E-2</v>
      </c>
      <c r="Q38" s="359"/>
      <c r="R38" s="360">
        <v>6.8000000000000005E-2</v>
      </c>
      <c r="S38" s="361">
        <f>R38</f>
        <v>6.8000000000000005E-2</v>
      </c>
      <c r="T38" s="362">
        <f>V38</f>
        <v>2.8565819741327499E-2</v>
      </c>
      <c r="U38" s="362"/>
      <c r="V38" s="362">
        <f>W38</f>
        <v>2.8565819741327499E-2</v>
      </c>
      <c r="W38" s="366">
        <f>(1/20*W33+2/100*W17/365)*1.15</f>
        <v>2.8565819741327499E-2</v>
      </c>
      <c r="X38" s="361"/>
      <c r="Y38" s="362"/>
      <c r="Z38" s="362"/>
      <c r="AA38" s="362"/>
      <c r="AB38" s="358">
        <f>W38</f>
        <v>2.8565819741327499E-2</v>
      </c>
      <c r="AC38" s="358"/>
      <c r="AD38" s="362"/>
      <c r="AE38" s="362"/>
      <c r="AF38" s="362"/>
      <c r="AG38" s="358">
        <f t="shared" ref="AG38:AQ38" si="23">AB38</f>
        <v>2.8565819741327499E-2</v>
      </c>
      <c r="AH38" s="358">
        <f t="shared" si="23"/>
        <v>0</v>
      </c>
      <c r="AI38" s="358">
        <f t="shared" si="23"/>
        <v>0</v>
      </c>
      <c r="AJ38" s="358">
        <f t="shared" si="23"/>
        <v>0</v>
      </c>
      <c r="AK38" s="358">
        <f t="shared" si="23"/>
        <v>0</v>
      </c>
      <c r="AL38" s="358">
        <f t="shared" si="23"/>
        <v>2.8565819741327499E-2</v>
      </c>
      <c r="AM38" s="358">
        <f t="shared" si="23"/>
        <v>0</v>
      </c>
      <c r="AN38" s="358">
        <f t="shared" si="23"/>
        <v>0</v>
      </c>
      <c r="AO38" s="358">
        <f t="shared" si="23"/>
        <v>0</v>
      </c>
      <c r="AP38" s="358">
        <f t="shared" si="23"/>
        <v>0</v>
      </c>
      <c r="AQ38" s="358">
        <f t="shared" si="23"/>
        <v>2.8565819741327499E-2</v>
      </c>
      <c r="AR38" s="20"/>
      <c r="AS38" s="20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</row>
    <row r="39" spans="5:62" s="21" customFormat="1" ht="22.5" customHeight="1" outlineLevel="2" x14ac:dyDescent="0.3">
      <c r="E39" s="352"/>
      <c r="F39" s="368" t="s">
        <v>51</v>
      </c>
      <c r="G39" s="369" t="s">
        <v>46</v>
      </c>
      <c r="H39" s="299">
        <v>27695.381999999998</v>
      </c>
      <c r="I39" s="297"/>
      <c r="J39" s="297"/>
      <c r="K39" s="297"/>
      <c r="L39" s="298"/>
      <c r="M39" s="365">
        <f>H39/$H$25*$M$25</f>
        <v>32772.331428052785</v>
      </c>
      <c r="N39" s="358"/>
      <c r="O39" s="359"/>
      <c r="P39" s="360">
        <v>34684.517600367813</v>
      </c>
      <c r="Q39" s="359"/>
      <c r="R39" s="360">
        <v>31192.91</v>
      </c>
      <c r="S39" s="361">
        <f>S37/S38/12*1000</f>
        <v>41621.295199632339</v>
      </c>
      <c r="T39" s="362">
        <f>T37/T38/6*1000</f>
        <v>35509.785299999989</v>
      </c>
      <c r="U39" s="362"/>
      <c r="V39" s="362">
        <f>V37/V38/12*1000</f>
        <v>35509.785299999989</v>
      </c>
      <c r="W39" s="366">
        <f>'[13]Расчет тарифа мет. инд. 5 лет'!$W$41</f>
        <v>35509.785299999996</v>
      </c>
      <c r="X39" s="361"/>
      <c r="Y39" s="362"/>
      <c r="Z39" s="362"/>
      <c r="AA39" s="362"/>
      <c r="AB39" s="358">
        <f>AB37/12/AB38*1000</f>
        <v>36666.33900722098</v>
      </c>
      <c r="AC39" s="358"/>
      <c r="AD39" s="362"/>
      <c r="AE39" s="362"/>
      <c r="AF39" s="362"/>
      <c r="AG39" s="358">
        <f>AG37/12/AG38*1000</f>
        <v>37751.662641834737</v>
      </c>
      <c r="AH39" s="358"/>
      <c r="AI39" s="362"/>
      <c r="AJ39" s="362"/>
      <c r="AK39" s="362"/>
      <c r="AL39" s="358">
        <f>AL37/12/AL38*1000</f>
        <v>38869.111856033043</v>
      </c>
      <c r="AM39" s="358"/>
      <c r="AN39" s="362"/>
      <c r="AO39" s="362"/>
      <c r="AP39" s="362"/>
      <c r="AQ39" s="359">
        <f>AQ37/12/AQ38*1000</f>
        <v>40019.637566971622</v>
      </c>
      <c r="AR39" s="20"/>
      <c r="AS39" s="20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</row>
    <row r="40" spans="5:62" s="21" customFormat="1" ht="22.5" customHeight="1" outlineLevel="2" x14ac:dyDescent="0.3">
      <c r="E40" s="653"/>
      <c r="F40" s="641" t="s">
        <v>52</v>
      </c>
      <c r="G40" s="354" t="s">
        <v>24</v>
      </c>
      <c r="H40" s="371">
        <v>0.30199999999999999</v>
      </c>
      <c r="I40" s="356"/>
      <c r="J40" s="356"/>
      <c r="K40" s="356"/>
      <c r="L40" s="357"/>
      <c r="M40" s="371">
        <v>0.30199999999999999</v>
      </c>
      <c r="N40" s="72"/>
      <c r="O40" s="74"/>
      <c r="P40" s="382">
        <v>0.30199999999999999</v>
      </c>
      <c r="Q40" s="74"/>
      <c r="R40" s="382">
        <v>0.30199999999999999</v>
      </c>
      <c r="S40" s="383">
        <f>R40</f>
        <v>0.30199999999999999</v>
      </c>
      <c r="T40" s="375">
        <f>V40</f>
        <v>0.30199999999999999</v>
      </c>
      <c r="U40" s="375"/>
      <c r="V40" s="376">
        <f>W40</f>
        <v>0.30199999999999999</v>
      </c>
      <c r="W40" s="377">
        <f>R40</f>
        <v>0.30199999999999999</v>
      </c>
      <c r="X40" s="378"/>
      <c r="Y40" s="375"/>
      <c r="Z40" s="375"/>
      <c r="AA40" s="376"/>
      <c r="AB40" s="72">
        <f>V40</f>
        <v>0.30199999999999999</v>
      </c>
      <c r="AC40" s="72"/>
      <c r="AD40" s="375"/>
      <c r="AE40" s="375"/>
      <c r="AF40" s="376"/>
      <c r="AG40" s="72">
        <f>AB40</f>
        <v>0.30199999999999999</v>
      </c>
      <c r="AH40" s="72"/>
      <c r="AI40" s="375"/>
      <c r="AJ40" s="375"/>
      <c r="AK40" s="376"/>
      <c r="AL40" s="72">
        <f>AG40</f>
        <v>0.30199999999999999</v>
      </c>
      <c r="AM40" s="72"/>
      <c r="AN40" s="375"/>
      <c r="AO40" s="375"/>
      <c r="AP40" s="376"/>
      <c r="AQ40" s="74">
        <f>AL40</f>
        <v>0.30199999999999999</v>
      </c>
      <c r="AR40" s="20"/>
      <c r="AS40" s="20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</row>
    <row r="41" spans="5:62" s="21" customFormat="1" ht="22.5" customHeight="1" outlineLevel="2" x14ac:dyDescent="0.3">
      <c r="E41" s="653"/>
      <c r="F41" s="641"/>
      <c r="G41" s="354" t="s">
        <v>31</v>
      </c>
      <c r="H41" s="355">
        <v>2.8604898344879999</v>
      </c>
      <c r="I41" s="356"/>
      <c r="J41" s="356"/>
      <c r="K41" s="356"/>
      <c r="L41" s="357"/>
      <c r="M41" s="365">
        <f t="shared" ref="M41:M51" si="24">H41/$H$25*$M$25</f>
        <v>3.3848574792150043</v>
      </c>
      <c r="N41" s="73"/>
      <c r="O41" s="379"/>
      <c r="P41" s="360">
        <v>3.5823557158363899</v>
      </c>
      <c r="Q41" s="379"/>
      <c r="R41" s="363">
        <f>R40*R37</f>
        <v>7.6869311971200016</v>
      </c>
      <c r="S41" s="364">
        <f>S40*S37</f>
        <v>10.256819018635799</v>
      </c>
      <c r="T41" s="380">
        <f>T37*T40</f>
        <v>1.8380314201906698</v>
      </c>
      <c r="U41" s="362">
        <f>$V41/IF($V$22=0,$V$18,$V$22)*IF($U$22=0,$U$18,U$22)</f>
        <v>1.8380314201906698</v>
      </c>
      <c r="V41" s="380">
        <f>V37*V40</f>
        <v>3.6760628403813396</v>
      </c>
      <c r="W41" s="363">
        <f>W40*W37</f>
        <v>3.6760628403813396</v>
      </c>
      <c r="X41" s="381"/>
      <c r="Y41" s="362"/>
      <c r="Z41" s="362"/>
      <c r="AA41" s="380"/>
      <c r="AB41" s="297">
        <f>AB40*AB37</f>
        <v>3.7957922070925592</v>
      </c>
      <c r="AC41" s="73"/>
      <c r="AD41" s="362"/>
      <c r="AE41" s="362"/>
      <c r="AF41" s="380"/>
      <c r="AG41" s="297">
        <f>AG40*AG37</f>
        <v>3.9081476564224995</v>
      </c>
      <c r="AH41" s="73"/>
      <c r="AI41" s="362"/>
      <c r="AJ41" s="362"/>
      <c r="AK41" s="380"/>
      <c r="AL41" s="297">
        <f>AL40*AL37</f>
        <v>4.0238288270526059</v>
      </c>
      <c r="AM41" s="73"/>
      <c r="AN41" s="362"/>
      <c r="AO41" s="362"/>
      <c r="AP41" s="380"/>
      <c r="AQ41" s="298">
        <f>AQ40*AQ37</f>
        <v>4.1429341603333629</v>
      </c>
      <c r="AR41" s="20"/>
      <c r="AS41" s="20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</row>
    <row r="42" spans="5:62" s="21" customFormat="1" ht="22.5" hidden="1" customHeight="1" outlineLevel="1" x14ac:dyDescent="0.3">
      <c r="E42" s="352" t="s">
        <v>22</v>
      </c>
      <c r="F42" s="353" t="s">
        <v>53</v>
      </c>
      <c r="G42" s="354" t="s">
        <v>31</v>
      </c>
      <c r="H42" s="355">
        <v>0</v>
      </c>
      <c r="I42" s="356"/>
      <c r="J42" s="356"/>
      <c r="K42" s="356"/>
      <c r="L42" s="357"/>
      <c r="M42" s="365">
        <f t="shared" si="24"/>
        <v>0</v>
      </c>
      <c r="N42" s="293"/>
      <c r="O42" s="309"/>
      <c r="P42" s="360">
        <v>0</v>
      </c>
      <c r="Q42" s="309"/>
      <c r="R42" s="292"/>
      <c r="S42" s="384"/>
      <c r="T42" s="362">
        <f>W42/2/(1+$W$183)</f>
        <v>0</v>
      </c>
      <c r="U42" s="362">
        <f>$V42/IF($V$22=0,$V$17,$V$22)*IF($U$22=0,$U$17,U$22)</f>
        <v>0</v>
      </c>
      <c r="V42" s="362">
        <f>(W42-T42)*2</f>
        <v>0</v>
      </c>
      <c r="W42" s="363">
        <v>0</v>
      </c>
      <c r="X42" s="361"/>
      <c r="Y42" s="362"/>
      <c r="Z42" s="362"/>
      <c r="AA42" s="362"/>
      <c r="AB42" s="297">
        <f>W42*(1+$AB$183)*0.99</f>
        <v>0</v>
      </c>
      <c r="AC42" s="358"/>
      <c r="AD42" s="362"/>
      <c r="AE42" s="362"/>
      <c r="AF42" s="362"/>
      <c r="AG42" s="297">
        <f>AB42*(1+$AG$183)*0.99</f>
        <v>0</v>
      </c>
      <c r="AH42" s="358"/>
      <c r="AI42" s="362"/>
      <c r="AJ42" s="362"/>
      <c r="AK42" s="362"/>
      <c r="AL42" s="297">
        <f>AG42*(1+$AL$183)*0.99</f>
        <v>0</v>
      </c>
      <c r="AM42" s="358"/>
      <c r="AN42" s="362"/>
      <c r="AO42" s="362"/>
      <c r="AP42" s="362"/>
      <c r="AQ42" s="298">
        <f>AL42*(1+$AQ$183)*0.99</f>
        <v>0</v>
      </c>
      <c r="AR42" s="20"/>
      <c r="AS42" s="20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</row>
    <row r="43" spans="5:62" s="21" customFormat="1" ht="22.5" hidden="1" customHeight="1" outlineLevel="1" x14ac:dyDescent="0.3">
      <c r="E43" s="352" t="s">
        <v>23</v>
      </c>
      <c r="F43" s="353" t="s">
        <v>54</v>
      </c>
      <c r="G43" s="354" t="s">
        <v>31</v>
      </c>
      <c r="H43" s="355">
        <v>0</v>
      </c>
      <c r="I43" s="356"/>
      <c r="J43" s="356"/>
      <c r="K43" s="356"/>
      <c r="L43" s="357"/>
      <c r="M43" s="365">
        <f t="shared" si="24"/>
        <v>0</v>
      </c>
      <c r="N43" s="293"/>
      <c r="O43" s="309"/>
      <c r="P43" s="360">
        <v>0</v>
      </c>
      <c r="Q43" s="309"/>
      <c r="R43" s="292"/>
      <c r="S43" s="384"/>
      <c r="T43" s="362">
        <f>W43/2/(1+$W$183)</f>
        <v>0</v>
      </c>
      <c r="U43" s="362">
        <f t="shared" ref="U43:U53" si="25">$V43/IF($V$22=0,$V$17,$V$22)*IF($U$22=0,$U$17,U$22)</f>
        <v>0</v>
      </c>
      <c r="V43" s="362">
        <f>(W43-T43)*2</f>
        <v>0</v>
      </c>
      <c r="W43" s="363">
        <v>0</v>
      </c>
      <c r="X43" s="361"/>
      <c r="Y43" s="362"/>
      <c r="Z43" s="362"/>
      <c r="AA43" s="362"/>
      <c r="AB43" s="297">
        <f>W43*(1+$AB$183)*0.99</f>
        <v>0</v>
      </c>
      <c r="AC43" s="358"/>
      <c r="AD43" s="362"/>
      <c r="AE43" s="362"/>
      <c r="AF43" s="362"/>
      <c r="AG43" s="297">
        <f>AB43*(1+$AG$183)*0.99</f>
        <v>0</v>
      </c>
      <c r="AH43" s="358"/>
      <c r="AI43" s="362"/>
      <c r="AJ43" s="362"/>
      <c r="AK43" s="362"/>
      <c r="AL43" s="297">
        <f>AG43*(1+$AL$183)*0.99</f>
        <v>0</v>
      </c>
      <c r="AM43" s="358"/>
      <c r="AN43" s="362"/>
      <c r="AO43" s="362"/>
      <c r="AP43" s="362"/>
      <c r="AQ43" s="298">
        <f>AL43*(1+$AQ$183)*0.99</f>
        <v>0</v>
      </c>
      <c r="AR43" s="20"/>
      <c r="AS43" s="20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</row>
    <row r="44" spans="5:62" s="21" customFormat="1" ht="22.5" customHeight="1" outlineLevel="1" x14ac:dyDescent="0.3">
      <c r="E44" s="352" t="s">
        <v>25</v>
      </c>
      <c r="F44" s="353" t="s">
        <v>55</v>
      </c>
      <c r="G44" s="354" t="s">
        <v>31</v>
      </c>
      <c r="H44" s="355">
        <v>84.641558962732006</v>
      </c>
      <c r="I44" s="356"/>
      <c r="J44" s="356"/>
      <c r="K44" s="356"/>
      <c r="L44" s="357"/>
      <c r="M44" s="365">
        <f t="shared" si="24"/>
        <v>100.15753611608338</v>
      </c>
      <c r="N44" s="385">
        <f t="shared" ref="N44" si="26" xml:space="preserve"> SUM(N45:N49)</f>
        <v>2.5999999999999996</v>
      </c>
      <c r="O44" s="359"/>
      <c r="P44" s="360">
        <v>106.00148579158247</v>
      </c>
      <c r="Q44" s="359"/>
      <c r="R44" s="385">
        <f t="shared" ref="R44" si="27" xml:space="preserve"> SUM(R45:R49)</f>
        <v>9.6910000000000007</v>
      </c>
      <c r="S44" s="386">
        <f>S49</f>
        <v>9.6910000000000007</v>
      </c>
      <c r="T44" s="362">
        <f xml:space="preserve"> SUM(T45:T49)</f>
        <v>4.1074338374291113</v>
      </c>
      <c r="U44" s="362">
        <f xml:space="preserve"> SUM(U45:U49)</f>
        <v>4.5838961625708894</v>
      </c>
      <c r="V44" s="362">
        <f xml:space="preserve"> SUM(V45:V49)</f>
        <v>9.1677923251417788</v>
      </c>
      <c r="W44" s="385">
        <f t="shared" ref="W44" si="28" xml:space="preserve"> SUM(W45:W49)</f>
        <v>8.6913300000000007</v>
      </c>
      <c r="X44" s="361"/>
      <c r="Y44" s="362"/>
      <c r="Z44" s="362"/>
      <c r="AA44" s="362"/>
      <c r="AB44" s="358">
        <f xml:space="preserve"> SUM(AB45:AB49)</f>
        <v>8.9744066180999997</v>
      </c>
      <c r="AC44" s="358"/>
      <c r="AD44" s="362"/>
      <c r="AE44" s="362"/>
      <c r="AF44" s="362"/>
      <c r="AG44" s="358">
        <f xml:space="preserve"> SUM(AG45:AG49)</f>
        <v>9.2400490539957616</v>
      </c>
      <c r="AH44" s="358"/>
      <c r="AI44" s="362"/>
      <c r="AJ44" s="362"/>
      <c r="AK44" s="362"/>
      <c r="AL44" s="358">
        <f xml:space="preserve"> SUM(AL45:AL49)</f>
        <v>9.5135545059940352</v>
      </c>
      <c r="AM44" s="358"/>
      <c r="AN44" s="362"/>
      <c r="AO44" s="362"/>
      <c r="AP44" s="362"/>
      <c r="AQ44" s="359">
        <f xml:space="preserve"> SUM(AQ45:AQ49)</f>
        <v>9.7951557193714578</v>
      </c>
      <c r="AR44" s="20"/>
      <c r="AS44" s="20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</row>
    <row r="45" spans="5:62" s="21" customFormat="1" ht="22.5" hidden="1" customHeight="1" outlineLevel="2" x14ac:dyDescent="0.3">
      <c r="E45" s="306" t="s">
        <v>26</v>
      </c>
      <c r="F45" s="353" t="s">
        <v>56</v>
      </c>
      <c r="G45" s="354" t="s">
        <v>31</v>
      </c>
      <c r="H45" s="355">
        <v>0</v>
      </c>
      <c r="I45" s="356"/>
      <c r="J45" s="356"/>
      <c r="K45" s="356"/>
      <c r="L45" s="357"/>
      <c r="M45" s="365">
        <f t="shared" si="24"/>
        <v>0</v>
      </c>
      <c r="N45" s="358"/>
      <c r="O45" s="359"/>
      <c r="P45" s="360">
        <v>0</v>
      </c>
      <c r="Q45" s="359"/>
      <c r="R45" s="360"/>
      <c r="S45" s="361"/>
      <c r="T45" s="362">
        <f>W45/2/(1+$W$183)</f>
        <v>0</v>
      </c>
      <c r="U45" s="362">
        <f t="shared" si="25"/>
        <v>0</v>
      </c>
      <c r="V45" s="362">
        <f t="shared" ref="V45:V49" si="29">(W45-T45)*2</f>
        <v>0</v>
      </c>
      <c r="W45" s="363">
        <v>0</v>
      </c>
      <c r="X45" s="361"/>
      <c r="Y45" s="362"/>
      <c r="Z45" s="362"/>
      <c r="AA45" s="362"/>
      <c r="AB45" s="297">
        <f>W45*(1+$AB$183)*0.99</f>
        <v>0</v>
      </c>
      <c r="AC45" s="358"/>
      <c r="AD45" s="362"/>
      <c r="AE45" s="362"/>
      <c r="AF45" s="362"/>
      <c r="AG45" s="297">
        <f>AB45*(1+$AG$183)*0.99</f>
        <v>0</v>
      </c>
      <c r="AH45" s="358"/>
      <c r="AI45" s="362"/>
      <c r="AJ45" s="362"/>
      <c r="AK45" s="362"/>
      <c r="AL45" s="297">
        <f>AG45*(1+$AL$183)*0.99</f>
        <v>0</v>
      </c>
      <c r="AM45" s="358"/>
      <c r="AN45" s="362"/>
      <c r="AO45" s="362"/>
      <c r="AP45" s="362"/>
      <c r="AQ45" s="298">
        <f>AL45*(1+$AQ$183)*0.99</f>
        <v>0</v>
      </c>
      <c r="AR45" s="20"/>
      <c r="AS45" s="20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</row>
    <row r="46" spans="5:62" s="21" customFormat="1" ht="22.5" hidden="1" customHeight="1" outlineLevel="2" x14ac:dyDescent="0.3">
      <c r="E46" s="306" t="s">
        <v>27</v>
      </c>
      <c r="F46" s="353" t="s">
        <v>57</v>
      </c>
      <c r="G46" s="354" t="s">
        <v>31</v>
      </c>
      <c r="H46" s="355">
        <v>0</v>
      </c>
      <c r="I46" s="356"/>
      <c r="J46" s="356"/>
      <c r="K46" s="356"/>
      <c r="L46" s="357"/>
      <c r="M46" s="365">
        <f t="shared" si="24"/>
        <v>0</v>
      </c>
      <c r="N46" s="358"/>
      <c r="O46" s="359"/>
      <c r="P46" s="360">
        <v>0</v>
      </c>
      <c r="Q46" s="359"/>
      <c r="R46" s="360"/>
      <c r="S46" s="361"/>
      <c r="T46" s="362">
        <f>W46/2/(1+$W$183)</f>
        <v>0</v>
      </c>
      <c r="U46" s="362">
        <f t="shared" si="25"/>
        <v>0</v>
      </c>
      <c r="V46" s="362">
        <f t="shared" si="29"/>
        <v>0</v>
      </c>
      <c r="W46" s="363">
        <v>0</v>
      </c>
      <c r="X46" s="361"/>
      <c r="Y46" s="362"/>
      <c r="Z46" s="362"/>
      <c r="AA46" s="362"/>
      <c r="AB46" s="297">
        <f>W46*(1+$AB$183)*0.99</f>
        <v>0</v>
      </c>
      <c r="AC46" s="358"/>
      <c r="AD46" s="362"/>
      <c r="AE46" s="362"/>
      <c r="AF46" s="362"/>
      <c r="AG46" s="297">
        <f>AB46*(1+$AG$183)*0.99</f>
        <v>0</v>
      </c>
      <c r="AH46" s="358"/>
      <c r="AI46" s="362"/>
      <c r="AJ46" s="362"/>
      <c r="AK46" s="362"/>
      <c r="AL46" s="297">
        <f>AG46*(1+$AL$183)*0.99</f>
        <v>0</v>
      </c>
      <c r="AM46" s="358"/>
      <c r="AN46" s="362"/>
      <c r="AO46" s="362"/>
      <c r="AP46" s="362"/>
      <c r="AQ46" s="298">
        <f>AL46*(1+$AQ$183)*0.99</f>
        <v>0</v>
      </c>
      <c r="AR46" s="20"/>
      <c r="AS46" s="20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</row>
    <row r="47" spans="5:62" s="21" customFormat="1" ht="22.5" hidden="1" customHeight="1" outlineLevel="2" x14ac:dyDescent="0.3">
      <c r="E47" s="306" t="s">
        <v>28</v>
      </c>
      <c r="F47" s="353" t="s">
        <v>58</v>
      </c>
      <c r="G47" s="354" t="s">
        <v>31</v>
      </c>
      <c r="H47" s="355">
        <v>0</v>
      </c>
      <c r="I47" s="356"/>
      <c r="J47" s="356"/>
      <c r="K47" s="356"/>
      <c r="L47" s="357"/>
      <c r="M47" s="365">
        <f t="shared" si="24"/>
        <v>0</v>
      </c>
      <c r="N47" s="358"/>
      <c r="O47" s="359"/>
      <c r="P47" s="360">
        <v>0</v>
      </c>
      <c r="Q47" s="359"/>
      <c r="R47" s="360"/>
      <c r="S47" s="361"/>
      <c r="T47" s="362">
        <f>W47/2/(1+$W$183)</f>
        <v>0</v>
      </c>
      <c r="U47" s="362">
        <f t="shared" si="25"/>
        <v>0</v>
      </c>
      <c r="V47" s="362">
        <f t="shared" si="29"/>
        <v>0</v>
      </c>
      <c r="W47" s="363">
        <f>O47*1.058*1.072</f>
        <v>0</v>
      </c>
      <c r="X47" s="361"/>
      <c r="Y47" s="362"/>
      <c r="Z47" s="362"/>
      <c r="AA47" s="362"/>
      <c r="AB47" s="297">
        <f>W47*(1+$AB$183)*0.99</f>
        <v>0</v>
      </c>
      <c r="AC47" s="358"/>
      <c r="AD47" s="362"/>
      <c r="AE47" s="362"/>
      <c r="AF47" s="362"/>
      <c r="AG47" s="297">
        <f>AB47*(1+$AG$183)*0.99</f>
        <v>0</v>
      </c>
      <c r="AH47" s="358"/>
      <c r="AI47" s="362"/>
      <c r="AJ47" s="362"/>
      <c r="AK47" s="362"/>
      <c r="AL47" s="297">
        <f>AG47*(1+$AL$183)*0.99</f>
        <v>0</v>
      </c>
      <c r="AM47" s="358"/>
      <c r="AN47" s="362"/>
      <c r="AO47" s="362"/>
      <c r="AP47" s="362"/>
      <c r="AQ47" s="298">
        <f>AL47*(1+$AQ$183)*0.99</f>
        <v>0</v>
      </c>
      <c r="AR47" s="25"/>
      <c r="AS47" s="25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</row>
    <row r="48" spans="5:62" s="21" customFormat="1" ht="22.5" hidden="1" customHeight="1" outlineLevel="2" x14ac:dyDescent="0.3">
      <c r="E48" s="306" t="s">
        <v>29</v>
      </c>
      <c r="F48" s="353" t="s">
        <v>59</v>
      </c>
      <c r="G48" s="354" t="s">
        <v>31</v>
      </c>
      <c r="H48" s="355">
        <v>0</v>
      </c>
      <c r="I48" s="356"/>
      <c r="J48" s="356"/>
      <c r="K48" s="356"/>
      <c r="L48" s="357"/>
      <c r="M48" s="365">
        <f t="shared" si="24"/>
        <v>0</v>
      </c>
      <c r="N48" s="358"/>
      <c r="O48" s="359"/>
      <c r="P48" s="360">
        <v>0</v>
      </c>
      <c r="Q48" s="359"/>
      <c r="R48" s="360"/>
      <c r="S48" s="361"/>
      <c r="T48" s="362">
        <f>W48/2/(1+$W$183)</f>
        <v>0</v>
      </c>
      <c r="U48" s="362">
        <f t="shared" si="25"/>
        <v>0</v>
      </c>
      <c r="V48" s="362">
        <f t="shared" si="29"/>
        <v>0</v>
      </c>
      <c r="W48" s="363">
        <v>0</v>
      </c>
      <c r="X48" s="361"/>
      <c r="Y48" s="362"/>
      <c r="Z48" s="362"/>
      <c r="AA48" s="362"/>
      <c r="AB48" s="297">
        <f>W48*(1+$AB$183)*0.99</f>
        <v>0</v>
      </c>
      <c r="AC48" s="358"/>
      <c r="AD48" s="362"/>
      <c r="AE48" s="362"/>
      <c r="AF48" s="362"/>
      <c r="AG48" s="297">
        <f>AB48*(1+$AG$183)*0.99</f>
        <v>0</v>
      </c>
      <c r="AH48" s="358"/>
      <c r="AI48" s="362"/>
      <c r="AJ48" s="362"/>
      <c r="AK48" s="362"/>
      <c r="AL48" s="297">
        <f>AG48*(1+$AL$183)*0.99</f>
        <v>0</v>
      </c>
      <c r="AM48" s="358"/>
      <c r="AN48" s="362"/>
      <c r="AO48" s="362"/>
      <c r="AP48" s="362"/>
      <c r="AQ48" s="298">
        <f>AL48*(1+$AQ$183)*0.99</f>
        <v>0</v>
      </c>
      <c r="AR48" s="20"/>
      <c r="AS48" s="20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</row>
    <row r="49" spans="5:62" s="21" customFormat="1" ht="22.5" customHeight="1" outlineLevel="2" x14ac:dyDescent="0.3">
      <c r="E49" s="306" t="s">
        <v>60</v>
      </c>
      <c r="F49" s="353" t="s">
        <v>61</v>
      </c>
      <c r="G49" s="354" t="s">
        <v>31</v>
      </c>
      <c r="H49" s="355">
        <v>84.641558962732006</v>
      </c>
      <c r="I49" s="356"/>
      <c r="J49" s="356"/>
      <c r="K49" s="356"/>
      <c r="L49" s="357"/>
      <c r="M49" s="365">
        <f t="shared" si="24"/>
        <v>100.15753611608338</v>
      </c>
      <c r="N49" s="358">
        <v>2.5999999999999996</v>
      </c>
      <c r="O49" s="359"/>
      <c r="P49" s="360">
        <v>106.00148579158247</v>
      </c>
      <c r="Q49" s="359"/>
      <c r="R49" s="360">
        <v>9.6910000000000007</v>
      </c>
      <c r="S49" s="361">
        <f>R49</f>
        <v>9.6910000000000007</v>
      </c>
      <c r="T49" s="362">
        <f>W49/2/(1+$W$183)</f>
        <v>4.1074338374291113</v>
      </c>
      <c r="U49" s="362">
        <f t="shared" si="25"/>
        <v>4.5838961625708894</v>
      </c>
      <c r="V49" s="362">
        <f t="shared" si="29"/>
        <v>9.1677923251417788</v>
      </c>
      <c r="W49" s="363">
        <f>(6.97133+1.72)</f>
        <v>8.6913300000000007</v>
      </c>
      <c r="X49" s="361"/>
      <c r="Y49" s="362"/>
      <c r="Z49" s="362"/>
      <c r="AA49" s="362"/>
      <c r="AB49" s="297">
        <f>W49*(1+$AB$183)*0.99</f>
        <v>8.9744066180999997</v>
      </c>
      <c r="AC49" s="358"/>
      <c r="AD49" s="362"/>
      <c r="AE49" s="362"/>
      <c r="AF49" s="362"/>
      <c r="AG49" s="297">
        <f>AB49*(1+$AG$183)*0.99</f>
        <v>9.2400490539957616</v>
      </c>
      <c r="AH49" s="358"/>
      <c r="AI49" s="362"/>
      <c r="AJ49" s="362"/>
      <c r="AK49" s="362"/>
      <c r="AL49" s="297">
        <f>AG49*(1+$AL$183)*0.99</f>
        <v>9.5135545059940352</v>
      </c>
      <c r="AM49" s="358"/>
      <c r="AN49" s="362"/>
      <c r="AO49" s="362"/>
      <c r="AP49" s="362"/>
      <c r="AQ49" s="298">
        <f>AL49*(1+$AQ$183)*0.99</f>
        <v>9.7951557193714578</v>
      </c>
      <c r="AR49" s="25"/>
      <c r="AS49" s="25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</row>
    <row r="50" spans="5:62" s="21" customFormat="1" ht="22.5" customHeight="1" outlineLevel="1" collapsed="1" x14ac:dyDescent="0.3">
      <c r="E50" s="352" t="s">
        <v>62</v>
      </c>
      <c r="F50" s="387" t="s">
        <v>63</v>
      </c>
      <c r="G50" s="354" t="s">
        <v>31</v>
      </c>
      <c r="H50" s="355">
        <v>108.98342857142858</v>
      </c>
      <c r="I50" s="356"/>
      <c r="J50" s="356"/>
      <c r="K50" s="356"/>
      <c r="L50" s="357"/>
      <c r="M50" s="365">
        <f t="shared" si="24"/>
        <v>128.96160960366515</v>
      </c>
      <c r="N50" s="366">
        <f t="shared" ref="N50" si="30">N51+N52+N53</f>
        <v>12.1</v>
      </c>
      <c r="O50" s="359"/>
      <c r="P50" s="360">
        <v>136.48620721079575</v>
      </c>
      <c r="Q50" s="359"/>
      <c r="R50" s="366">
        <f t="shared" ref="R50:W50" si="31">R51+R52+R53</f>
        <v>157.02000000000001</v>
      </c>
      <c r="S50" s="367">
        <v>157.02000000000001</v>
      </c>
      <c r="T50" s="362">
        <f t="shared" si="31"/>
        <v>6.5339999999999998</v>
      </c>
      <c r="U50" s="362">
        <f t="shared" si="31"/>
        <v>7.291944</v>
      </c>
      <c r="V50" s="362">
        <f t="shared" si="31"/>
        <v>14.583888</v>
      </c>
      <c r="W50" s="366">
        <f t="shared" si="31"/>
        <v>13.825944</v>
      </c>
      <c r="X50" s="361"/>
      <c r="Y50" s="362"/>
      <c r="Z50" s="362"/>
      <c r="AA50" s="362"/>
      <c r="AB50" s="358">
        <f t="shared" ref="AB50:AQ50" si="32">AB51+AB52+AB53</f>
        <v>14.276254996079999</v>
      </c>
      <c r="AC50" s="358"/>
      <c r="AD50" s="362"/>
      <c r="AE50" s="362"/>
      <c r="AF50" s="362"/>
      <c r="AG50" s="358">
        <f>AG51+AG52+AG53</f>
        <v>14.698832143963967</v>
      </c>
      <c r="AH50" s="358"/>
      <c r="AI50" s="362"/>
      <c r="AJ50" s="362"/>
      <c r="AK50" s="362"/>
      <c r="AL50" s="358">
        <f t="shared" si="32"/>
        <v>15.133917575425301</v>
      </c>
      <c r="AM50" s="358"/>
      <c r="AN50" s="362"/>
      <c r="AO50" s="362"/>
      <c r="AP50" s="362"/>
      <c r="AQ50" s="359">
        <f t="shared" si="32"/>
        <v>15.581881535657889</v>
      </c>
      <c r="AR50" s="20"/>
      <c r="AS50" s="20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</row>
    <row r="51" spans="5:62" s="21" customFormat="1" ht="37.5" customHeight="1" outlineLevel="1" x14ac:dyDescent="0.3">
      <c r="E51" s="306" t="s">
        <v>64</v>
      </c>
      <c r="F51" s="353" t="s">
        <v>65</v>
      </c>
      <c r="G51" s="354" t="s">
        <v>31</v>
      </c>
      <c r="H51" s="355">
        <v>108.98342857142858</v>
      </c>
      <c r="I51" s="356"/>
      <c r="J51" s="356"/>
      <c r="K51" s="356"/>
      <c r="L51" s="357"/>
      <c r="M51" s="365">
        <f t="shared" si="24"/>
        <v>128.96160960366515</v>
      </c>
      <c r="N51" s="358">
        <v>12.1</v>
      </c>
      <c r="O51" s="359"/>
      <c r="P51" s="360">
        <v>136.48620721079575</v>
      </c>
      <c r="Q51" s="359"/>
      <c r="R51" s="360">
        <v>157.02000000000001</v>
      </c>
      <c r="S51" s="361">
        <f>R51</f>
        <v>157.02000000000001</v>
      </c>
      <c r="T51" s="362">
        <f>W51/2/(1+$W$183)</f>
        <v>6.5339999999999998</v>
      </c>
      <c r="U51" s="362">
        <f t="shared" si="25"/>
        <v>7.291944</v>
      </c>
      <c r="V51" s="362">
        <f t="shared" ref="V51:V52" si="33">(W51-T51)*2</f>
        <v>14.583888</v>
      </c>
      <c r="W51" s="363">
        <f>N51*1.08*1.058</f>
        <v>13.825944</v>
      </c>
      <c r="X51" s="361"/>
      <c r="Y51" s="362"/>
      <c r="Z51" s="362"/>
      <c r="AA51" s="362"/>
      <c r="AB51" s="297">
        <f>W51*(1+$AB$183)*0.99</f>
        <v>14.276254996079999</v>
      </c>
      <c r="AC51" s="358"/>
      <c r="AD51" s="362"/>
      <c r="AE51" s="362"/>
      <c r="AF51" s="362"/>
      <c r="AG51" s="297">
        <f>AB51*(1+$AG$183)*0.99</f>
        <v>14.698832143963967</v>
      </c>
      <c r="AH51" s="358"/>
      <c r="AI51" s="362"/>
      <c r="AJ51" s="362"/>
      <c r="AK51" s="362"/>
      <c r="AL51" s="297">
        <f>AG51*(1+$AL$183)*0.99</f>
        <v>15.133917575425301</v>
      </c>
      <c r="AM51" s="358"/>
      <c r="AN51" s="362"/>
      <c r="AO51" s="362"/>
      <c r="AP51" s="362"/>
      <c r="AQ51" s="298">
        <f>AL51*(1+$AQ$183)*0.99</f>
        <v>15.581881535657889</v>
      </c>
      <c r="AR51" s="20"/>
      <c r="AS51" s="20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</row>
    <row r="52" spans="5:62" s="21" customFormat="1" ht="27.75" hidden="1" customHeight="1" outlineLevel="1" x14ac:dyDescent="0.3">
      <c r="E52" s="306" t="s">
        <v>66</v>
      </c>
      <c r="F52" s="353" t="s">
        <v>67</v>
      </c>
      <c r="G52" s="354" t="s">
        <v>31</v>
      </c>
      <c r="H52" s="355">
        <v>0</v>
      </c>
      <c r="I52" s="356"/>
      <c r="J52" s="356"/>
      <c r="K52" s="356"/>
      <c r="L52" s="357"/>
      <c r="M52" s="365"/>
      <c r="N52" s="358"/>
      <c r="O52" s="359"/>
      <c r="P52" s="360">
        <v>0</v>
      </c>
      <c r="Q52" s="359"/>
      <c r="R52" s="360"/>
      <c r="S52" s="361"/>
      <c r="T52" s="362">
        <f>W52/2/(1+$W$183)</f>
        <v>0</v>
      </c>
      <c r="U52" s="362">
        <f t="shared" si="25"/>
        <v>0</v>
      </c>
      <c r="V52" s="362">
        <f t="shared" si="33"/>
        <v>0</v>
      </c>
      <c r="W52" s="363">
        <v>0</v>
      </c>
      <c r="X52" s="361"/>
      <c r="Y52" s="362"/>
      <c r="Z52" s="362"/>
      <c r="AA52" s="362"/>
      <c r="AB52" s="297">
        <f>W52*(1+$AB$183)*0.99</f>
        <v>0</v>
      </c>
      <c r="AC52" s="358"/>
      <c r="AD52" s="362"/>
      <c r="AE52" s="362"/>
      <c r="AF52" s="362"/>
      <c r="AG52" s="297">
        <f>AB52*(1+$AG$183)*0.99</f>
        <v>0</v>
      </c>
      <c r="AH52" s="358"/>
      <c r="AI52" s="362"/>
      <c r="AJ52" s="362"/>
      <c r="AK52" s="362"/>
      <c r="AL52" s="297">
        <f>AG52*(1+$AL$183)*0.99</f>
        <v>0</v>
      </c>
      <c r="AM52" s="358"/>
      <c r="AN52" s="362"/>
      <c r="AO52" s="362"/>
      <c r="AP52" s="362"/>
      <c r="AQ52" s="298">
        <f>AL52*(1+$AQ$183)*0.99</f>
        <v>0</v>
      </c>
      <c r="AR52" s="20"/>
      <c r="AS52" s="20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</row>
    <row r="53" spans="5:62" s="21" customFormat="1" ht="34.5" hidden="1" customHeight="1" outlineLevel="1" collapsed="1" x14ac:dyDescent="0.3">
      <c r="E53" s="306" t="s">
        <v>68</v>
      </c>
      <c r="F53" s="353" t="s">
        <v>69</v>
      </c>
      <c r="G53" s="354" t="s">
        <v>31</v>
      </c>
      <c r="H53" s="355">
        <v>0</v>
      </c>
      <c r="I53" s="356"/>
      <c r="J53" s="356"/>
      <c r="K53" s="356"/>
      <c r="L53" s="357"/>
      <c r="M53" s="365"/>
      <c r="N53" s="358"/>
      <c r="O53" s="359"/>
      <c r="P53" s="360">
        <v>0</v>
      </c>
      <c r="Q53" s="359"/>
      <c r="R53" s="360"/>
      <c r="S53" s="361"/>
      <c r="T53" s="362">
        <f>W53/2</f>
        <v>0</v>
      </c>
      <c r="U53" s="362">
        <f t="shared" si="25"/>
        <v>0</v>
      </c>
      <c r="V53" s="362">
        <f>(W53-T53)*2</f>
        <v>0</v>
      </c>
      <c r="W53" s="363">
        <f>W54*W55*12/1000</f>
        <v>0</v>
      </c>
      <c r="X53" s="361"/>
      <c r="Y53" s="362"/>
      <c r="Z53" s="362"/>
      <c r="AA53" s="362"/>
      <c r="AB53" s="297">
        <f>W53*(1+$AB$183)*0.99</f>
        <v>0</v>
      </c>
      <c r="AC53" s="358"/>
      <c r="AD53" s="362"/>
      <c r="AE53" s="362"/>
      <c r="AF53" s="362"/>
      <c r="AG53" s="297">
        <f>AB53*(1+$AG$183)*0.99</f>
        <v>0</v>
      </c>
      <c r="AH53" s="358"/>
      <c r="AI53" s="362"/>
      <c r="AJ53" s="362"/>
      <c r="AK53" s="362"/>
      <c r="AL53" s="297">
        <f>AG53*(1+$AL$183)*0.99</f>
        <v>0</v>
      </c>
      <c r="AM53" s="358"/>
      <c r="AN53" s="362"/>
      <c r="AO53" s="362"/>
      <c r="AP53" s="362"/>
      <c r="AQ53" s="298">
        <f>AL53*(1+$AQ$183)*0.99</f>
        <v>0</v>
      </c>
      <c r="AR53" s="20"/>
      <c r="AS53" s="20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</row>
    <row r="54" spans="5:62" s="21" customFormat="1" ht="27" hidden="1" customHeight="1" outlineLevel="2" x14ac:dyDescent="0.3">
      <c r="E54" s="306" t="s">
        <v>70</v>
      </c>
      <c r="F54" s="353" t="s">
        <v>71</v>
      </c>
      <c r="G54" s="354" t="s">
        <v>31</v>
      </c>
      <c r="H54" s="355">
        <v>0</v>
      </c>
      <c r="I54" s="356"/>
      <c r="J54" s="356"/>
      <c r="K54" s="356"/>
      <c r="L54" s="357"/>
      <c r="M54" s="365"/>
      <c r="N54" s="358"/>
      <c r="O54" s="359"/>
      <c r="P54" s="360">
        <v>0</v>
      </c>
      <c r="Q54" s="359"/>
      <c r="R54" s="360"/>
      <c r="S54" s="361"/>
      <c r="T54" s="362">
        <f>W54/2</f>
        <v>0</v>
      </c>
      <c r="U54" s="362"/>
      <c r="V54" s="362">
        <f>Y54/2</f>
        <v>0</v>
      </c>
      <c r="W54" s="362">
        <f>Z54/2</f>
        <v>0</v>
      </c>
      <c r="X54" s="361"/>
      <c r="Y54" s="362"/>
      <c r="Z54" s="362"/>
      <c r="AA54" s="362"/>
      <c r="AB54" s="297">
        <f>W54*(1+$AB$183)*0.99</f>
        <v>0</v>
      </c>
      <c r="AC54" s="358"/>
      <c r="AD54" s="362"/>
      <c r="AE54" s="362"/>
      <c r="AF54" s="362"/>
      <c r="AG54" s="297">
        <f>AB54*(1+$AG$183)*0.99</f>
        <v>0</v>
      </c>
      <c r="AH54" s="358"/>
      <c r="AI54" s="362"/>
      <c r="AJ54" s="362"/>
      <c r="AK54" s="362"/>
      <c r="AL54" s="297">
        <f>AG54*(1+$AL$183)*0.99</f>
        <v>0</v>
      </c>
      <c r="AM54" s="358"/>
      <c r="AN54" s="362"/>
      <c r="AO54" s="362"/>
      <c r="AP54" s="362"/>
      <c r="AQ54" s="298">
        <f>AL54*(1+$AQ$183)*0.99</f>
        <v>0</v>
      </c>
      <c r="AR54" s="20"/>
      <c r="AS54" s="20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</row>
    <row r="55" spans="5:62" s="21" customFormat="1" ht="22.5" hidden="1" customHeight="1" outlineLevel="2" x14ac:dyDescent="0.3">
      <c r="E55" s="306"/>
      <c r="F55" s="368" t="s">
        <v>72</v>
      </c>
      <c r="G55" s="369" t="s">
        <v>44</v>
      </c>
      <c r="H55" s="299">
        <v>0</v>
      </c>
      <c r="I55" s="297"/>
      <c r="J55" s="297"/>
      <c r="K55" s="297"/>
      <c r="L55" s="298"/>
      <c r="M55" s="365"/>
      <c r="N55" s="358"/>
      <c r="O55" s="359"/>
      <c r="P55" s="360">
        <v>0</v>
      </c>
      <c r="Q55" s="359"/>
      <c r="R55" s="360"/>
      <c r="S55" s="361"/>
      <c r="T55" s="362">
        <f>V55</f>
        <v>0</v>
      </c>
      <c r="U55" s="362"/>
      <c r="V55" s="362">
        <f>X55</f>
        <v>0</v>
      </c>
      <c r="W55" s="362">
        <f>Y55</f>
        <v>0</v>
      </c>
      <c r="X55" s="361"/>
      <c r="Y55" s="362"/>
      <c r="Z55" s="362"/>
      <c r="AA55" s="362"/>
      <c r="AB55" s="358">
        <f>W55</f>
        <v>0</v>
      </c>
      <c r="AC55" s="358"/>
      <c r="AD55" s="362"/>
      <c r="AE55" s="362"/>
      <c r="AF55" s="362"/>
      <c r="AG55" s="358">
        <f>AB55</f>
        <v>0</v>
      </c>
      <c r="AH55" s="358"/>
      <c r="AI55" s="362"/>
      <c r="AJ55" s="362"/>
      <c r="AK55" s="362"/>
      <c r="AL55" s="358">
        <f>AG55</f>
        <v>0</v>
      </c>
      <c r="AM55" s="358"/>
      <c r="AN55" s="362"/>
      <c r="AO55" s="362"/>
      <c r="AP55" s="362"/>
      <c r="AQ55" s="359">
        <f>AL55</f>
        <v>0</v>
      </c>
      <c r="AR55" s="20"/>
      <c r="AS55" s="20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</row>
    <row r="56" spans="5:62" s="21" customFormat="1" ht="22.5" hidden="1" customHeight="1" outlineLevel="2" x14ac:dyDescent="0.3">
      <c r="E56" s="306"/>
      <c r="F56" s="368" t="s">
        <v>73</v>
      </c>
      <c r="G56" s="369" t="s">
        <v>46</v>
      </c>
      <c r="H56" s="299">
        <v>0</v>
      </c>
      <c r="I56" s="297"/>
      <c r="J56" s="297"/>
      <c r="K56" s="297"/>
      <c r="L56" s="298"/>
      <c r="M56" s="365"/>
      <c r="N56" s="358"/>
      <c r="O56" s="359"/>
      <c r="P56" s="360">
        <v>0</v>
      </c>
      <c r="Q56" s="359"/>
      <c r="R56" s="360"/>
      <c r="S56" s="361"/>
      <c r="T56" s="362" t="e">
        <f>T54/T55/6*1000</f>
        <v>#DIV/0!</v>
      </c>
      <c r="U56" s="388"/>
      <c r="V56" s="362" t="e">
        <f>V54/V55/6*1000</f>
        <v>#DIV/0!</v>
      </c>
      <c r="W56" s="362" t="e">
        <f>W54/W55/6*1000</f>
        <v>#DIV/0!</v>
      </c>
      <c r="X56" s="388"/>
      <c r="Y56" s="388"/>
      <c r="Z56" s="388"/>
      <c r="AA56" s="388"/>
      <c r="AB56" s="388" t="e">
        <f>AB54/12/AB55*1000</f>
        <v>#DIV/0!</v>
      </c>
      <c r="AC56" s="388"/>
      <c r="AD56" s="388"/>
      <c r="AE56" s="388"/>
      <c r="AF56" s="388"/>
      <c r="AG56" s="388" t="e">
        <f>AG54/12/AG55*1000</f>
        <v>#DIV/0!</v>
      </c>
      <c r="AH56" s="388"/>
      <c r="AI56" s="388"/>
      <c r="AJ56" s="388"/>
      <c r="AK56" s="388"/>
      <c r="AL56" s="388" t="e">
        <f>AL54/12/AL55*1000</f>
        <v>#DIV/0!</v>
      </c>
      <c r="AM56" s="388"/>
      <c r="AN56" s="388"/>
      <c r="AO56" s="388"/>
      <c r="AP56" s="388"/>
      <c r="AQ56" s="388" t="e">
        <f>AQ54/12/AQ55*1000</f>
        <v>#DIV/0!</v>
      </c>
      <c r="AR56" s="20"/>
      <c r="AS56" s="20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</row>
    <row r="57" spans="5:62" s="21" customFormat="1" ht="18.75" hidden="1" customHeight="1" outlineLevel="2" x14ac:dyDescent="0.3">
      <c r="E57" s="640" t="s">
        <v>74</v>
      </c>
      <c r="F57" s="641" t="s">
        <v>75</v>
      </c>
      <c r="G57" s="354" t="s">
        <v>24</v>
      </c>
      <c r="H57" s="355">
        <v>0</v>
      </c>
      <c r="I57" s="356"/>
      <c r="J57" s="356"/>
      <c r="K57" s="356"/>
      <c r="L57" s="357"/>
      <c r="M57" s="389"/>
      <c r="N57" s="72"/>
      <c r="O57" s="74"/>
      <c r="P57" s="360">
        <v>0</v>
      </c>
      <c r="Q57" s="74"/>
      <c r="R57" s="390"/>
      <c r="S57" s="378"/>
      <c r="T57" s="375">
        <f>V57</f>
        <v>0</v>
      </c>
      <c r="U57" s="362">
        <f>$V57/IF($V$22=0,$V$18,$V$22)*IF($U$22=0,$U$18,U$22)</f>
        <v>0</v>
      </c>
      <c r="V57" s="375">
        <f>X57</f>
        <v>0</v>
      </c>
      <c r="W57" s="375">
        <f>Y57</f>
        <v>0</v>
      </c>
      <c r="X57" s="378"/>
      <c r="Y57" s="375"/>
      <c r="Z57" s="375"/>
      <c r="AA57" s="376"/>
      <c r="AB57" s="72">
        <f>W57</f>
        <v>0</v>
      </c>
      <c r="AC57" s="72"/>
      <c r="AD57" s="375"/>
      <c r="AE57" s="375"/>
      <c r="AF57" s="376"/>
      <c r="AG57" s="72">
        <f>AB57</f>
        <v>0</v>
      </c>
      <c r="AH57" s="72"/>
      <c r="AI57" s="375"/>
      <c r="AJ57" s="375"/>
      <c r="AK57" s="376"/>
      <c r="AL57" s="72">
        <f>AG57</f>
        <v>0</v>
      </c>
      <c r="AM57" s="72"/>
      <c r="AN57" s="375"/>
      <c r="AO57" s="375"/>
      <c r="AP57" s="376"/>
      <c r="AQ57" s="74">
        <f>AL57</f>
        <v>0</v>
      </c>
      <c r="AR57" s="20"/>
      <c r="AS57" s="20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</row>
    <row r="58" spans="5:62" s="21" customFormat="1" ht="19.5" hidden="1" customHeight="1" outlineLevel="2" x14ac:dyDescent="0.3">
      <c r="E58" s="640"/>
      <c r="F58" s="641"/>
      <c r="G58" s="354" t="s">
        <v>31</v>
      </c>
      <c r="H58" s="355">
        <v>0</v>
      </c>
      <c r="I58" s="356"/>
      <c r="J58" s="356"/>
      <c r="K58" s="356"/>
      <c r="L58" s="357"/>
      <c r="M58" s="391"/>
      <c r="N58" s="73"/>
      <c r="O58" s="379"/>
      <c r="P58" s="360">
        <v>0</v>
      </c>
      <c r="Q58" s="379"/>
      <c r="R58" s="392"/>
      <c r="S58" s="381"/>
      <c r="T58" s="297">
        <f>T57*T54</f>
        <v>0</v>
      </c>
      <c r="U58" s="362">
        <f>$V58/IF($V$22=0,$V$18,$V$22)*IF($U$22=0,$U$18,U$22)</f>
        <v>0</v>
      </c>
      <c r="V58" s="380">
        <f>V54*V57</f>
        <v>0</v>
      </c>
      <c r="W58" s="363">
        <f>W57*W54</f>
        <v>0</v>
      </c>
      <c r="X58" s="381"/>
      <c r="Y58" s="362"/>
      <c r="Z58" s="362"/>
      <c r="AA58" s="380"/>
      <c r="AB58" s="297">
        <f>AB57*AB54</f>
        <v>0</v>
      </c>
      <c r="AC58" s="73"/>
      <c r="AD58" s="362"/>
      <c r="AE58" s="362"/>
      <c r="AF58" s="380"/>
      <c r="AG58" s="297">
        <f>AG57*AG54</f>
        <v>0</v>
      </c>
      <c r="AH58" s="73"/>
      <c r="AI58" s="362"/>
      <c r="AJ58" s="362"/>
      <c r="AK58" s="380"/>
      <c r="AL58" s="297">
        <f>AL57*AL54</f>
        <v>0</v>
      </c>
      <c r="AM58" s="73"/>
      <c r="AN58" s="362"/>
      <c r="AO58" s="362"/>
      <c r="AP58" s="380"/>
      <c r="AQ58" s="298">
        <f>AQ57*AQ54</f>
        <v>0</v>
      </c>
      <c r="AR58" s="20"/>
      <c r="AS58" s="20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</row>
    <row r="59" spans="5:62" s="21" customFormat="1" ht="22.5" customHeight="1" outlineLevel="1" x14ac:dyDescent="0.3">
      <c r="E59" s="352" t="s">
        <v>76</v>
      </c>
      <c r="F59" s="353" t="s">
        <v>77</v>
      </c>
      <c r="G59" s="354" t="s">
        <v>31</v>
      </c>
      <c r="H59" s="355">
        <v>30.168741014470449</v>
      </c>
      <c r="I59" s="356"/>
      <c r="J59" s="356"/>
      <c r="K59" s="356"/>
      <c r="L59" s="357"/>
      <c r="M59" s="365">
        <f>H59/$H$25*$M$25</f>
        <v>35.69909161366018</v>
      </c>
      <c r="N59" s="385">
        <f t="shared" ref="N59" si="34">N60+N61+N67+N68+N69+N70+N71</f>
        <v>61.980660000000007</v>
      </c>
      <c r="O59" s="359"/>
      <c r="P59" s="360">
        <v>37.782047154913364</v>
      </c>
      <c r="Q59" s="359"/>
      <c r="R59" s="385">
        <f t="shared" ref="R59:AQ59" si="35">R60+R61+R67+R68+R69+R70+R71</f>
        <v>82.088029389200003</v>
      </c>
      <c r="S59" s="386">
        <f>S60+S61+S67+S68+S69+S70+S71</f>
        <v>101.09067173079202</v>
      </c>
      <c r="T59" s="362">
        <f t="shared" si="35"/>
        <v>36.271541421208056</v>
      </c>
      <c r="U59" s="362">
        <f t="shared" si="35"/>
        <v>36.905000900001248</v>
      </c>
      <c r="V59" s="362">
        <f t="shared" si="35"/>
        <v>73.810001800002496</v>
      </c>
      <c r="W59" s="385">
        <f t="shared" si="35"/>
        <v>73.176542321209297</v>
      </c>
      <c r="X59" s="361"/>
      <c r="Y59" s="362"/>
      <c r="Z59" s="362"/>
      <c r="AA59" s="362"/>
      <c r="AB59" s="358">
        <f t="shared" si="35"/>
        <v>75.559902304611086</v>
      </c>
      <c r="AC59" s="358"/>
      <c r="AD59" s="362"/>
      <c r="AE59" s="362"/>
      <c r="AF59" s="362"/>
      <c r="AG59" s="358">
        <f>AG60+AG61+AG67+AG68+AG69+AG70+AG71</f>
        <v>77.796475412827576</v>
      </c>
      <c r="AH59" s="358"/>
      <c r="AI59" s="362"/>
      <c r="AJ59" s="362"/>
      <c r="AK59" s="362"/>
      <c r="AL59" s="358">
        <f t="shared" si="35"/>
        <v>80.099251085047285</v>
      </c>
      <c r="AM59" s="358"/>
      <c r="AN59" s="362"/>
      <c r="AO59" s="362"/>
      <c r="AP59" s="362"/>
      <c r="AQ59" s="359">
        <f t="shared" si="35"/>
        <v>82.470188917164677</v>
      </c>
      <c r="AR59" s="20"/>
      <c r="AS59" s="20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</row>
    <row r="60" spans="5:62" s="21" customFormat="1" ht="39.75" customHeight="1" outlineLevel="2" x14ac:dyDescent="0.3">
      <c r="E60" s="306" t="s">
        <v>78</v>
      </c>
      <c r="F60" s="393" t="s">
        <v>79</v>
      </c>
      <c r="G60" s="354" t="s">
        <v>31</v>
      </c>
      <c r="H60" s="355">
        <v>0.10242713000000001</v>
      </c>
      <c r="I60" s="356"/>
      <c r="J60" s="356"/>
      <c r="K60" s="356"/>
      <c r="L60" s="357"/>
      <c r="M60" s="365">
        <f>H60/$H$25*$M$25</f>
        <v>0.12120345014862945</v>
      </c>
      <c r="N60" s="360">
        <v>6.34</v>
      </c>
      <c r="O60" s="359"/>
      <c r="P60" s="360">
        <v>0.12827537793990937</v>
      </c>
      <c r="Q60" s="359"/>
      <c r="R60" s="360">
        <v>2.14</v>
      </c>
      <c r="S60" s="361">
        <v>2.14</v>
      </c>
      <c r="T60" s="362">
        <f>W60/2/(1+$W$183)</f>
        <v>1.0113421550094519</v>
      </c>
      <c r="U60" s="362">
        <f t="shared" ref="U60" si="36">$V60/IF($V$22=0,$V$17,$V$22)*IF($U$22=0,$U$17,U$22)</f>
        <v>1.1286578449905482</v>
      </c>
      <c r="V60" s="362">
        <f>(W60-T60)*2</f>
        <v>2.2573156899810964</v>
      </c>
      <c r="W60" s="363">
        <f>[13]Админимстр!$T$38</f>
        <v>2.14</v>
      </c>
      <c r="X60" s="361"/>
      <c r="Y60" s="362"/>
      <c r="Z60" s="362"/>
      <c r="AA60" s="362"/>
      <c r="AB60" s="297">
        <f>W60*(1+$AB$183)*0.99</f>
        <v>2.2096997999999997</v>
      </c>
      <c r="AC60" s="358"/>
      <c r="AD60" s="362"/>
      <c r="AE60" s="362"/>
      <c r="AF60" s="362"/>
      <c r="AG60" s="297">
        <f>AB60*(1+$AG$183)*0.99</f>
        <v>2.2751069140799998</v>
      </c>
      <c r="AH60" s="358"/>
      <c r="AI60" s="362"/>
      <c r="AJ60" s="362"/>
      <c r="AK60" s="362"/>
      <c r="AL60" s="297">
        <f>AG60*(1+$AL$183)*0.99</f>
        <v>2.3424500787367681</v>
      </c>
      <c r="AM60" s="358"/>
      <c r="AN60" s="362"/>
      <c r="AO60" s="362"/>
      <c r="AP60" s="362"/>
      <c r="AQ60" s="298">
        <f>AL60*(1+$AQ$183)*0.99</f>
        <v>2.4117866010673765</v>
      </c>
      <c r="AR60" s="20"/>
      <c r="AS60" s="20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</row>
    <row r="61" spans="5:62" s="21" customFormat="1" ht="36" customHeight="1" outlineLevel="2" x14ac:dyDescent="0.3">
      <c r="E61" s="306" t="s">
        <v>80</v>
      </c>
      <c r="F61" s="353" t="s">
        <v>81</v>
      </c>
      <c r="G61" s="354" t="s">
        <v>31</v>
      </c>
      <c r="H61" s="355">
        <v>29.970790391990448</v>
      </c>
      <c r="I61" s="356"/>
      <c r="J61" s="356"/>
      <c r="K61" s="356"/>
      <c r="L61" s="357"/>
      <c r="M61" s="365">
        <f>H61/$H$25*$M$25</f>
        <v>35.464853883835623</v>
      </c>
      <c r="N61" s="363">
        <f>N62+N66</f>
        <v>46.650660000000002</v>
      </c>
      <c r="O61" s="359"/>
      <c r="P61" s="360">
        <v>37.534142220819611</v>
      </c>
      <c r="Q61" s="359"/>
      <c r="R61" s="363">
        <f>R62+R66</f>
        <v>67.908029389199996</v>
      </c>
      <c r="S61" s="364">
        <f>S62+S66</f>
        <v>86.910671730792018</v>
      </c>
      <c r="T61" s="362">
        <f>W61/2</f>
        <v>30.81068384540465</v>
      </c>
      <c r="U61" s="362">
        <f>$V61/IF($V$22=0,$V$18,$V$22)*IF($U$22=0,$U$18,U$22)</f>
        <v>30.81068384540465</v>
      </c>
      <c r="V61" s="362">
        <f>(W61-T61)*2</f>
        <v>61.621367690809301</v>
      </c>
      <c r="W61" s="363">
        <f>W62+W66</f>
        <v>61.621367690809301</v>
      </c>
      <c r="X61" s="361"/>
      <c r="Y61" s="362"/>
      <c r="Z61" s="362"/>
      <c r="AA61" s="362"/>
      <c r="AB61" s="358">
        <f t="shared" ref="AB61:AQ61" si="37">AB62+AB66</f>
        <v>63.628375636498959</v>
      </c>
      <c r="AC61" s="358"/>
      <c r="AD61" s="362"/>
      <c r="AE61" s="362"/>
      <c r="AF61" s="362"/>
      <c r="AG61" s="358">
        <f>AG62+AG66</f>
        <v>65.511775555339341</v>
      </c>
      <c r="AH61" s="358"/>
      <c r="AI61" s="362"/>
      <c r="AJ61" s="362"/>
      <c r="AK61" s="362"/>
      <c r="AL61" s="358">
        <f t="shared" si="37"/>
        <v>67.450924111777383</v>
      </c>
      <c r="AM61" s="358"/>
      <c r="AN61" s="362"/>
      <c r="AO61" s="362"/>
      <c r="AP61" s="362"/>
      <c r="AQ61" s="359">
        <f t="shared" si="37"/>
        <v>69.447471465485989</v>
      </c>
      <c r="AR61" s="20"/>
      <c r="AS61" s="20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</row>
    <row r="62" spans="5:62" s="21" customFormat="1" ht="38.25" customHeight="1" outlineLevel="3" x14ac:dyDescent="0.3">
      <c r="E62" s="306" t="s">
        <v>82</v>
      </c>
      <c r="F62" s="353" t="s">
        <v>83</v>
      </c>
      <c r="G62" s="354" t="s">
        <v>31</v>
      </c>
      <c r="H62" s="355">
        <v>23.019040239624001</v>
      </c>
      <c r="I62" s="356"/>
      <c r="J62" s="356"/>
      <c r="K62" s="356"/>
      <c r="L62" s="357"/>
      <c r="M62" s="365">
        <f>H62/$H$25*$M$25</f>
        <v>27.238751062853783</v>
      </c>
      <c r="N62" s="358">
        <v>35.83</v>
      </c>
      <c r="O62" s="359"/>
      <c r="P62" s="360">
        <v>28.828066221827658</v>
      </c>
      <c r="Q62" s="359"/>
      <c r="R62" s="366">
        <f>R63*R64*12/1000</f>
        <v>52.156704599999998</v>
      </c>
      <c r="S62" s="367">
        <v>66.751667996000009</v>
      </c>
      <c r="T62" s="362">
        <f>V62/2</f>
        <v>23.664119696931376</v>
      </c>
      <c r="U62" s="362"/>
      <c r="V62" s="362">
        <f>W62</f>
        <v>47.328239393862752</v>
      </c>
      <c r="W62" s="366">
        <f>W63*W64*12/1000</f>
        <v>47.328239393862752</v>
      </c>
      <c r="X62" s="361"/>
      <c r="Y62" s="362"/>
      <c r="Z62" s="362"/>
      <c r="AA62" s="362"/>
      <c r="AB62" s="297">
        <f>W62*(1+$AB$183)*0.99</f>
        <v>48.869720150920863</v>
      </c>
      <c r="AC62" s="358"/>
      <c r="AD62" s="362"/>
      <c r="AE62" s="362"/>
      <c r="AF62" s="362"/>
      <c r="AG62" s="297">
        <f>AB62*(1+$AG$183)*0.99</f>
        <v>50.316263867388123</v>
      </c>
      <c r="AH62" s="358"/>
      <c r="AI62" s="362"/>
      <c r="AJ62" s="362"/>
      <c r="AK62" s="362"/>
      <c r="AL62" s="297">
        <f>AG62*(1+$AL$183)*0.99</f>
        <v>51.805625277862809</v>
      </c>
      <c r="AM62" s="358"/>
      <c r="AN62" s="362"/>
      <c r="AO62" s="362"/>
      <c r="AP62" s="362"/>
      <c r="AQ62" s="298">
        <f>AL62*(1+$AQ$183)*0.99</f>
        <v>53.339071786087544</v>
      </c>
      <c r="AR62" s="20"/>
      <c r="AS62" s="20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</row>
    <row r="63" spans="5:62" s="21" customFormat="1" ht="32.25" customHeight="1" outlineLevel="3" x14ac:dyDescent="0.3">
      <c r="E63" s="306"/>
      <c r="F63" s="368" t="s">
        <v>84</v>
      </c>
      <c r="G63" s="369" t="s">
        <v>44</v>
      </c>
      <c r="H63" s="299">
        <v>4.5461000000000001E-2</v>
      </c>
      <c r="I63" s="297"/>
      <c r="J63" s="297"/>
      <c r="K63" s="297"/>
      <c r="L63" s="298"/>
      <c r="M63" s="299">
        <v>4.5461000000000001E-2</v>
      </c>
      <c r="N63" s="358">
        <f>N62/N64/12*1000</f>
        <v>8.2966406611805765E-2</v>
      </c>
      <c r="O63" s="359"/>
      <c r="P63" s="360">
        <v>4.5461000000000001E-2</v>
      </c>
      <c r="Q63" s="359"/>
      <c r="R63" s="360">
        <v>0.105</v>
      </c>
      <c r="S63" s="361">
        <v>9.8799999999999999E-2</v>
      </c>
      <c r="T63" s="362">
        <f>V63</f>
        <v>8.2966406611805765E-2</v>
      </c>
      <c r="U63" s="362"/>
      <c r="V63" s="362">
        <f>W63</f>
        <v>8.2966406611805765E-2</v>
      </c>
      <c r="W63" s="366">
        <f>N63</f>
        <v>8.2966406611805765E-2</v>
      </c>
      <c r="X63" s="361"/>
      <c r="Y63" s="362"/>
      <c r="Z63" s="362"/>
      <c r="AA63" s="362"/>
      <c r="AB63" s="358">
        <f>V63</f>
        <v>8.2966406611805765E-2</v>
      </c>
      <c r="AC63" s="358"/>
      <c r="AD63" s="362"/>
      <c r="AE63" s="362"/>
      <c r="AF63" s="362"/>
      <c r="AG63" s="358">
        <f>AB63</f>
        <v>8.2966406611805765E-2</v>
      </c>
      <c r="AH63" s="358"/>
      <c r="AI63" s="362"/>
      <c r="AJ63" s="362"/>
      <c r="AK63" s="362"/>
      <c r="AL63" s="358">
        <f>AG63</f>
        <v>8.2966406611805765E-2</v>
      </c>
      <c r="AM63" s="358"/>
      <c r="AN63" s="362"/>
      <c r="AO63" s="362"/>
      <c r="AP63" s="362"/>
      <c r="AQ63" s="359">
        <f>AL63</f>
        <v>8.2966406611805765E-2</v>
      </c>
      <c r="AR63" s="20"/>
      <c r="AS63" s="20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</row>
    <row r="64" spans="5:62" s="21" customFormat="1" ht="32.25" customHeight="1" outlineLevel="3" x14ac:dyDescent="0.3">
      <c r="E64" s="306"/>
      <c r="F64" s="368" t="s">
        <v>85</v>
      </c>
      <c r="G64" s="369" t="s">
        <v>46</v>
      </c>
      <c r="H64" s="299">
        <v>42195.582000000002</v>
      </c>
      <c r="I64" s="297"/>
      <c r="J64" s="297"/>
      <c r="K64" s="297"/>
      <c r="L64" s="298"/>
      <c r="M64" s="365">
        <f>H64/$H$25*$M$25</f>
        <v>49930.620133839591</v>
      </c>
      <c r="N64" s="358">
        <f>'[13]Расчет тарифа мет. инд. 5 лет'!$N$66</f>
        <v>35988.461538461539</v>
      </c>
      <c r="O64" s="359"/>
      <c r="P64" s="360">
        <v>52843.950898989722</v>
      </c>
      <c r="Q64" s="359"/>
      <c r="R64" s="360">
        <v>41394.21</v>
      </c>
      <c r="S64" s="361">
        <f>S62/S63/12*1000</f>
        <v>56302.014166666675</v>
      </c>
      <c r="T64" s="362">
        <f>T62/T63/6*1000</f>
        <v>47537.552975415303</v>
      </c>
      <c r="U64" s="299"/>
      <c r="V64" s="362">
        <f>V62/V63/12*1000</f>
        <v>47537.552975415303</v>
      </c>
      <c r="W64" s="299">
        <f>'[13]Расчет тарифа мет. инд. 5 лет'!$W$66</f>
        <v>47537.552975415303</v>
      </c>
      <c r="X64" s="299"/>
      <c r="Y64" s="299"/>
      <c r="Z64" s="299"/>
      <c r="AA64" s="299"/>
      <c r="AB64" s="299">
        <f>AB62/12/AB63*1000</f>
        <v>49085.851075824576</v>
      </c>
      <c r="AC64" s="299"/>
      <c r="AD64" s="299"/>
      <c r="AE64" s="299"/>
      <c r="AF64" s="299"/>
      <c r="AG64" s="299">
        <f>AG62/12/AG63*1000</f>
        <v>50538.792267668985</v>
      </c>
      <c r="AH64" s="299"/>
      <c r="AI64" s="299"/>
      <c r="AJ64" s="299"/>
      <c r="AK64" s="299"/>
      <c r="AL64" s="299">
        <f>AL62/12/AL63*1000</f>
        <v>52034.740518791994</v>
      </c>
      <c r="AM64" s="299"/>
      <c r="AN64" s="299"/>
      <c r="AO64" s="299"/>
      <c r="AP64" s="299"/>
      <c r="AQ64" s="299">
        <f>AQ62/12/AQ63*1000</f>
        <v>53574.968838148226</v>
      </c>
      <c r="AR64" s="20">
        <f>W64/N64</f>
        <v>1.3209109515451511</v>
      </c>
      <c r="AS64" s="20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</row>
    <row r="65" spans="5:62" s="21" customFormat="1" ht="22.5" customHeight="1" outlineLevel="3" x14ac:dyDescent="0.3">
      <c r="E65" s="640" t="s">
        <v>86</v>
      </c>
      <c r="F65" s="641" t="s">
        <v>87</v>
      </c>
      <c r="G65" s="354" t="s">
        <v>24</v>
      </c>
      <c r="H65" s="371">
        <v>0.30199999999999999</v>
      </c>
      <c r="I65" s="356"/>
      <c r="J65" s="356"/>
      <c r="K65" s="356"/>
      <c r="L65" s="357"/>
      <c r="M65" s="371">
        <v>0.30199999999999999</v>
      </c>
      <c r="N65" s="72"/>
      <c r="O65" s="74"/>
      <c r="P65" s="382">
        <v>0.30199999999999999</v>
      </c>
      <c r="Q65" s="74"/>
      <c r="R65" s="382">
        <v>0.30199999999999999</v>
      </c>
      <c r="S65" s="382">
        <f>R65</f>
        <v>0.30199999999999999</v>
      </c>
      <c r="T65" s="382">
        <v>0.30199999999999999</v>
      </c>
      <c r="U65" s="382">
        <v>0.30199999999999999</v>
      </c>
      <c r="V65" s="382">
        <v>0.30199999999999999</v>
      </c>
      <c r="W65" s="382">
        <v>0.30199999999999999</v>
      </c>
      <c r="X65" s="378"/>
      <c r="Y65" s="375"/>
      <c r="Z65" s="375"/>
      <c r="AA65" s="376"/>
      <c r="AB65" s="72">
        <f>W65</f>
        <v>0.30199999999999999</v>
      </c>
      <c r="AC65" s="72"/>
      <c r="AD65" s="375"/>
      <c r="AE65" s="375"/>
      <c r="AF65" s="376"/>
      <c r="AG65" s="72">
        <f>AB65</f>
        <v>0.30199999999999999</v>
      </c>
      <c r="AH65" s="72"/>
      <c r="AI65" s="375"/>
      <c r="AJ65" s="375"/>
      <c r="AK65" s="376"/>
      <c r="AL65" s="72">
        <f>AG65</f>
        <v>0.30199999999999999</v>
      </c>
      <c r="AM65" s="72"/>
      <c r="AN65" s="375"/>
      <c r="AO65" s="375"/>
      <c r="AP65" s="376"/>
      <c r="AQ65" s="74">
        <f>AL65</f>
        <v>0.30199999999999999</v>
      </c>
      <c r="AR65" s="20"/>
      <c r="AS65" s="20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</row>
    <row r="66" spans="5:62" s="21" customFormat="1" ht="22.5" customHeight="1" outlineLevel="3" x14ac:dyDescent="0.3">
      <c r="E66" s="640"/>
      <c r="F66" s="641"/>
      <c r="G66" s="354" t="s">
        <v>31</v>
      </c>
      <c r="H66" s="355">
        <v>6.951750152366448</v>
      </c>
      <c r="I66" s="356"/>
      <c r="J66" s="356"/>
      <c r="K66" s="356"/>
      <c r="L66" s="357"/>
      <c r="M66" s="365">
        <f>H66/$H$25*$M$25</f>
        <v>8.2261028209818399</v>
      </c>
      <c r="N66" s="73">
        <v>10.82066</v>
      </c>
      <c r="O66" s="379"/>
      <c r="P66" s="360">
        <v>8.7060759989919525</v>
      </c>
      <c r="Q66" s="379"/>
      <c r="R66" s="363">
        <f>R65*R62</f>
        <v>15.751324789199998</v>
      </c>
      <c r="S66" s="364">
        <f>S65*S62</f>
        <v>20.159003734792002</v>
      </c>
      <c r="T66" s="380">
        <f>T62*T65</f>
        <v>7.1465641484732751</v>
      </c>
      <c r="U66" s="362">
        <f t="shared" ref="U66:U71" si="38">$V66/IF($V$22=0,$V$17,$V$22)*IF($U$22=0,$U$17,U$22)</f>
        <v>7.1465641484732751</v>
      </c>
      <c r="V66" s="380">
        <f>V62*V65</f>
        <v>14.29312829694655</v>
      </c>
      <c r="W66" s="363">
        <f>W65*W62</f>
        <v>14.29312829694655</v>
      </c>
      <c r="X66" s="381"/>
      <c r="Y66" s="362"/>
      <c r="Z66" s="362"/>
      <c r="AA66" s="380"/>
      <c r="AB66" s="297">
        <f>AB65*AB62</f>
        <v>14.7586554855781</v>
      </c>
      <c r="AC66" s="73"/>
      <c r="AD66" s="362"/>
      <c r="AE66" s="362"/>
      <c r="AF66" s="380"/>
      <c r="AG66" s="297">
        <f>AG65*AG62</f>
        <v>15.195511687951212</v>
      </c>
      <c r="AH66" s="73"/>
      <c r="AI66" s="362"/>
      <c r="AJ66" s="362"/>
      <c r="AK66" s="380"/>
      <c r="AL66" s="297">
        <f>AL65*AL62</f>
        <v>15.645298833914568</v>
      </c>
      <c r="AM66" s="73"/>
      <c r="AN66" s="362"/>
      <c r="AO66" s="362"/>
      <c r="AP66" s="380"/>
      <c r="AQ66" s="298">
        <f>AQ65*AQ62</f>
        <v>16.108399679398438</v>
      </c>
      <c r="AR66" s="20"/>
      <c r="AS66" s="20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</row>
    <row r="67" spans="5:62" s="21" customFormat="1" ht="60.75" outlineLevel="2" x14ac:dyDescent="0.3">
      <c r="E67" s="306" t="s">
        <v>88</v>
      </c>
      <c r="F67" s="353" t="s">
        <v>89</v>
      </c>
      <c r="G67" s="354" t="s">
        <v>31</v>
      </c>
      <c r="H67" s="355">
        <v>0</v>
      </c>
      <c r="I67" s="356"/>
      <c r="J67" s="356"/>
      <c r="K67" s="356"/>
      <c r="L67" s="357"/>
      <c r="M67" s="365">
        <v>0</v>
      </c>
      <c r="N67" s="358">
        <v>1.1100000000000001</v>
      </c>
      <c r="O67" s="359"/>
      <c r="P67" s="360">
        <v>0</v>
      </c>
      <c r="Q67" s="359"/>
      <c r="R67" s="360">
        <v>1.1200000000000001</v>
      </c>
      <c r="S67" s="361">
        <f>R67</f>
        <v>1.1200000000000001</v>
      </c>
      <c r="T67" s="362">
        <f>W67/2/(1+$W$183)</f>
        <v>0</v>
      </c>
      <c r="U67" s="362">
        <f t="shared" si="38"/>
        <v>0</v>
      </c>
      <c r="V67" s="362">
        <f>(W67-T67)*2</f>
        <v>0</v>
      </c>
      <c r="W67" s="363">
        <f>[13]Админимстр!$T$46</f>
        <v>0</v>
      </c>
      <c r="X67" s="361"/>
      <c r="Y67" s="362"/>
      <c r="Z67" s="362"/>
      <c r="AA67" s="362"/>
      <c r="AB67" s="297">
        <f>W67*(1+$AB$183)*0.99</f>
        <v>0</v>
      </c>
      <c r="AC67" s="358"/>
      <c r="AD67" s="362"/>
      <c r="AE67" s="362"/>
      <c r="AF67" s="362"/>
      <c r="AG67" s="297">
        <f>AB67*(1+$AG$183)*0.99</f>
        <v>0</v>
      </c>
      <c r="AH67" s="358"/>
      <c r="AI67" s="362"/>
      <c r="AJ67" s="362"/>
      <c r="AK67" s="362"/>
      <c r="AL67" s="297">
        <f>AG67*(1+$AL$183)*0.99</f>
        <v>0</v>
      </c>
      <c r="AM67" s="358"/>
      <c r="AN67" s="362"/>
      <c r="AO67" s="362"/>
      <c r="AP67" s="362"/>
      <c r="AQ67" s="298">
        <f>AL67*(1+$AQ$183)*0.99</f>
        <v>0</v>
      </c>
      <c r="AR67" s="20"/>
      <c r="AS67" s="20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</row>
    <row r="68" spans="5:62" s="21" customFormat="1" ht="22.5" customHeight="1" outlineLevel="2" x14ac:dyDescent="0.3">
      <c r="E68" s="306" t="s">
        <v>90</v>
      </c>
      <c r="F68" s="387" t="s">
        <v>91</v>
      </c>
      <c r="G68" s="354" t="s">
        <v>31</v>
      </c>
      <c r="H68" s="355">
        <v>0</v>
      </c>
      <c r="I68" s="356"/>
      <c r="J68" s="356"/>
      <c r="K68" s="356"/>
      <c r="L68" s="357"/>
      <c r="M68" s="365">
        <v>0</v>
      </c>
      <c r="N68" s="358">
        <v>1</v>
      </c>
      <c r="O68" s="359"/>
      <c r="P68" s="360">
        <v>0</v>
      </c>
      <c r="Q68" s="359"/>
      <c r="R68" s="360">
        <v>1</v>
      </c>
      <c r="S68" s="361">
        <f t="shared" ref="S68:S69" si="39">R68</f>
        <v>1</v>
      </c>
      <c r="T68" s="362">
        <f>W68/2/(1+$W$183)</f>
        <v>0.47258979206049145</v>
      </c>
      <c r="U68" s="362">
        <f t="shared" si="38"/>
        <v>0.52741020793950855</v>
      </c>
      <c r="V68" s="362">
        <f>(W68-T68)*2</f>
        <v>1.0548204158790171</v>
      </c>
      <c r="W68" s="363">
        <f>[13]Админимстр!$T$47</f>
        <v>1</v>
      </c>
      <c r="X68" s="361"/>
      <c r="Y68" s="362"/>
      <c r="Z68" s="362"/>
      <c r="AA68" s="362"/>
      <c r="AB68" s="297">
        <f>W68*(1+$AB$183)*0.99</f>
        <v>1.03257</v>
      </c>
      <c r="AC68" s="358"/>
      <c r="AD68" s="362"/>
      <c r="AE68" s="362"/>
      <c r="AF68" s="362"/>
      <c r="AG68" s="297">
        <f>AB68*(1+$AG$183)*0.99</f>
        <v>1.063134072</v>
      </c>
      <c r="AH68" s="358"/>
      <c r="AI68" s="362"/>
      <c r="AJ68" s="362"/>
      <c r="AK68" s="362"/>
      <c r="AL68" s="297">
        <f>AG68*(1+$AL$183)*0.99</f>
        <v>1.0946028405312</v>
      </c>
      <c r="AM68" s="358"/>
      <c r="AN68" s="362"/>
      <c r="AO68" s="362"/>
      <c r="AP68" s="362"/>
      <c r="AQ68" s="298">
        <f>AL68*(1+$AQ$183)*0.99</f>
        <v>1.1270030846109236</v>
      </c>
      <c r="AR68" s="20"/>
      <c r="AS68" s="20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</row>
    <row r="69" spans="5:62" s="21" customFormat="1" ht="22.5" customHeight="1" outlineLevel="2" x14ac:dyDescent="0.3">
      <c r="E69" s="306" t="s">
        <v>92</v>
      </c>
      <c r="F69" s="387" t="s">
        <v>93</v>
      </c>
      <c r="G69" s="354" t="s">
        <v>31</v>
      </c>
      <c r="H69" s="355">
        <v>0</v>
      </c>
      <c r="I69" s="356"/>
      <c r="J69" s="356"/>
      <c r="K69" s="356"/>
      <c r="L69" s="357"/>
      <c r="M69" s="365">
        <v>0</v>
      </c>
      <c r="N69" s="358">
        <v>0.28000000000000003</v>
      </c>
      <c r="O69" s="359"/>
      <c r="P69" s="360">
        <v>0</v>
      </c>
      <c r="Q69" s="359"/>
      <c r="R69" s="360">
        <v>0.31</v>
      </c>
      <c r="S69" s="361">
        <f t="shared" si="39"/>
        <v>0.31</v>
      </c>
      <c r="T69" s="362">
        <f>W69/2/(1+$W$183)</f>
        <v>0.14650283553875235</v>
      </c>
      <c r="U69" s="362">
        <f t="shared" si="38"/>
        <v>0.16349716446124765</v>
      </c>
      <c r="V69" s="362">
        <f>(W69-T69)*2</f>
        <v>0.3269943289224953</v>
      </c>
      <c r="W69" s="363">
        <f>[13]Админимстр!$T$48</f>
        <v>0.31</v>
      </c>
      <c r="X69" s="361"/>
      <c r="Y69" s="362"/>
      <c r="Z69" s="362"/>
      <c r="AA69" s="362"/>
      <c r="AB69" s="297">
        <f>W69*(1+$AB$183)*0.99</f>
        <v>0.32009669999999996</v>
      </c>
      <c r="AC69" s="358"/>
      <c r="AD69" s="362"/>
      <c r="AE69" s="362"/>
      <c r="AF69" s="362"/>
      <c r="AG69" s="297">
        <f>AB69*(1+$AG$183)*0.99</f>
        <v>0.32957156231999996</v>
      </c>
      <c r="AH69" s="358"/>
      <c r="AI69" s="362"/>
      <c r="AJ69" s="362"/>
      <c r="AK69" s="362"/>
      <c r="AL69" s="297">
        <f>AG69*(1+$AL$183)*0.99</f>
        <v>0.33932688056467192</v>
      </c>
      <c r="AM69" s="358"/>
      <c r="AN69" s="362"/>
      <c r="AO69" s="362"/>
      <c r="AP69" s="362"/>
      <c r="AQ69" s="298">
        <f>AL69*(1+$AQ$183)*0.99</f>
        <v>0.34937095622938619</v>
      </c>
      <c r="AR69" s="20"/>
      <c r="AS69" s="20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</row>
    <row r="70" spans="5:62" s="21" customFormat="1" ht="22.5" hidden="1" customHeight="1" outlineLevel="2" x14ac:dyDescent="0.3">
      <c r="E70" s="306" t="s">
        <v>94</v>
      </c>
      <c r="F70" s="353" t="s">
        <v>95</v>
      </c>
      <c r="G70" s="354" t="s">
        <v>31</v>
      </c>
      <c r="H70" s="355">
        <v>0</v>
      </c>
      <c r="I70" s="356"/>
      <c r="J70" s="356"/>
      <c r="K70" s="356"/>
      <c r="L70" s="357"/>
      <c r="M70" s="365">
        <v>0</v>
      </c>
      <c r="N70" s="358"/>
      <c r="O70" s="359"/>
      <c r="P70" s="360">
        <v>0</v>
      </c>
      <c r="Q70" s="359"/>
      <c r="R70" s="360"/>
      <c r="S70" s="361"/>
      <c r="T70" s="362">
        <f>W70/2/(1+$W$183)</f>
        <v>0</v>
      </c>
      <c r="U70" s="362">
        <f t="shared" si="38"/>
        <v>0</v>
      </c>
      <c r="V70" s="362">
        <f>(W70-T70)*2</f>
        <v>0</v>
      </c>
      <c r="W70" s="363">
        <v>0</v>
      </c>
      <c r="X70" s="361"/>
      <c r="Y70" s="362"/>
      <c r="Z70" s="362"/>
      <c r="AA70" s="362"/>
      <c r="AB70" s="297">
        <f>W70*(1+$AB$183)*0.99</f>
        <v>0</v>
      </c>
      <c r="AC70" s="358"/>
      <c r="AD70" s="362"/>
      <c r="AE70" s="362"/>
      <c r="AF70" s="362"/>
      <c r="AG70" s="297">
        <f>AB70*(1+$AG$183)*0.99</f>
        <v>0</v>
      </c>
      <c r="AH70" s="358"/>
      <c r="AI70" s="362"/>
      <c r="AJ70" s="362"/>
      <c r="AK70" s="362"/>
      <c r="AL70" s="297">
        <f>AG70*(1+$AL$183)*0.99</f>
        <v>0</v>
      </c>
      <c r="AM70" s="358"/>
      <c r="AN70" s="362"/>
      <c r="AO70" s="362"/>
      <c r="AP70" s="362"/>
      <c r="AQ70" s="298">
        <f>AL70*(1+$AQ$183)*0.99</f>
        <v>0</v>
      </c>
      <c r="AR70" s="20"/>
      <c r="AS70" s="20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</row>
    <row r="71" spans="5:62" s="21" customFormat="1" ht="60.75" outlineLevel="2" x14ac:dyDescent="0.3">
      <c r="E71" s="306" t="s">
        <v>96</v>
      </c>
      <c r="F71" s="353" t="s">
        <v>97</v>
      </c>
      <c r="G71" s="354" t="s">
        <v>31</v>
      </c>
      <c r="H71" s="355">
        <v>9.5523492480000013E-2</v>
      </c>
      <c r="I71" s="356"/>
      <c r="J71" s="356"/>
      <c r="K71" s="356"/>
      <c r="L71" s="357"/>
      <c r="M71" s="365">
        <f>H71/$H$25*$M$25</f>
        <v>0.11303427967592825</v>
      </c>
      <c r="N71" s="358">
        <v>6.6000000000000005</v>
      </c>
      <c r="O71" s="359"/>
      <c r="P71" s="360">
        <v>0.11962955615384412</v>
      </c>
      <c r="Q71" s="359"/>
      <c r="R71" s="360">
        <v>9.61</v>
      </c>
      <c r="S71" s="361">
        <f>R71</f>
        <v>9.61</v>
      </c>
      <c r="T71" s="362">
        <f>W71/2/(1+$W$183)</f>
        <v>3.8304227931947072</v>
      </c>
      <c r="U71" s="362">
        <f t="shared" si="38"/>
        <v>4.2747518372052937</v>
      </c>
      <c r="V71" s="362">
        <f>(W71-T71)*2</f>
        <v>8.5495036744105875</v>
      </c>
      <c r="W71" s="363">
        <f>[13]Админимстр!$T$50</f>
        <v>8.1051746304000005</v>
      </c>
      <c r="X71" s="361"/>
      <c r="Y71" s="362"/>
      <c r="Z71" s="362"/>
      <c r="AA71" s="362"/>
      <c r="AB71" s="297">
        <f>W71*(1+$AB$183)*0.99</f>
        <v>8.3691601681121277</v>
      </c>
      <c r="AC71" s="358"/>
      <c r="AD71" s="362"/>
      <c r="AE71" s="362"/>
      <c r="AF71" s="362"/>
      <c r="AG71" s="297">
        <f>AB71*(1+$AG$183)*0.99</f>
        <v>8.6168873090882467</v>
      </c>
      <c r="AH71" s="358"/>
      <c r="AI71" s="362"/>
      <c r="AJ71" s="362"/>
      <c r="AK71" s="362"/>
      <c r="AL71" s="297">
        <f>AG71*(1+$AL$183)*0.99</f>
        <v>8.8719471734372597</v>
      </c>
      <c r="AM71" s="358"/>
      <c r="AN71" s="362"/>
      <c r="AO71" s="362"/>
      <c r="AP71" s="362"/>
      <c r="AQ71" s="298">
        <f>AL71*(1+$AQ$183)*0.99</f>
        <v>9.1345568097710022</v>
      </c>
      <c r="AR71" s="20"/>
      <c r="AS71" s="20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</row>
    <row r="72" spans="5:62" s="21" customFormat="1" ht="22.5" hidden="1" customHeight="1" outlineLevel="1" collapsed="1" x14ac:dyDescent="0.3">
      <c r="E72" s="352" t="s">
        <v>98</v>
      </c>
      <c r="F72" s="353" t="s">
        <v>99</v>
      </c>
      <c r="G72" s="354" t="s">
        <v>31</v>
      </c>
      <c r="H72" s="355">
        <v>0</v>
      </c>
      <c r="I72" s="356"/>
      <c r="J72" s="356"/>
      <c r="K72" s="356"/>
      <c r="L72" s="357"/>
      <c r="M72" s="365"/>
      <c r="N72" s="358"/>
      <c r="O72" s="359"/>
      <c r="P72" s="360">
        <v>0</v>
      </c>
      <c r="Q72" s="359"/>
      <c r="R72" s="360"/>
      <c r="S72" s="361"/>
      <c r="T72" s="362">
        <f t="shared" ref="T72:U72" si="40">T73</f>
        <v>0</v>
      </c>
      <c r="U72" s="362">
        <f t="shared" si="40"/>
        <v>0</v>
      </c>
      <c r="V72" s="362">
        <f>V73</f>
        <v>0</v>
      </c>
      <c r="W72" s="385">
        <f t="shared" ref="W72" si="41">W73</f>
        <v>0</v>
      </c>
      <c r="X72" s="361"/>
      <c r="Y72" s="362"/>
      <c r="Z72" s="362"/>
      <c r="AA72" s="362"/>
      <c r="AB72" s="358">
        <f>AB73</f>
        <v>0</v>
      </c>
      <c r="AC72" s="358"/>
      <c r="AD72" s="362"/>
      <c r="AE72" s="362"/>
      <c r="AF72" s="362"/>
      <c r="AG72" s="358">
        <f>AG73</f>
        <v>0</v>
      </c>
      <c r="AH72" s="358"/>
      <c r="AI72" s="362"/>
      <c r="AJ72" s="362"/>
      <c r="AK72" s="362"/>
      <c r="AL72" s="358">
        <f>AL73</f>
        <v>0</v>
      </c>
      <c r="AM72" s="358"/>
      <c r="AN72" s="362"/>
      <c r="AO72" s="362"/>
      <c r="AP72" s="362"/>
      <c r="AQ72" s="359">
        <f>AQ73</f>
        <v>0</v>
      </c>
      <c r="AR72" s="20"/>
      <c r="AS72" s="20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</row>
    <row r="73" spans="5:62" s="21" customFormat="1" ht="22.5" hidden="1" customHeight="1" outlineLevel="2" x14ac:dyDescent="0.3">
      <c r="E73" s="306" t="s">
        <v>100</v>
      </c>
      <c r="F73" s="353" t="s">
        <v>101</v>
      </c>
      <c r="G73" s="354" t="s">
        <v>31</v>
      </c>
      <c r="H73" s="355">
        <v>0</v>
      </c>
      <c r="I73" s="356"/>
      <c r="J73" s="356"/>
      <c r="K73" s="356"/>
      <c r="L73" s="357"/>
      <c r="M73" s="292"/>
      <c r="N73" s="293"/>
      <c r="O73" s="309"/>
      <c r="P73" s="360">
        <v>0</v>
      </c>
      <c r="Q73" s="309"/>
      <c r="R73" s="292"/>
      <c r="S73" s="384"/>
      <c r="T73" s="362">
        <f>W73/2/(1+$W$183)</f>
        <v>0</v>
      </c>
      <c r="U73" s="362">
        <f t="shared" ref="U73" si="42">$V73/IF($V$22=0,$V$17,$V$22)*IF($U$22=0,$U$17,U$22)</f>
        <v>0</v>
      </c>
      <c r="V73" s="362">
        <f>(W73-T73)*2</f>
        <v>0</v>
      </c>
      <c r="W73" s="363">
        <v>0</v>
      </c>
      <c r="X73" s="361"/>
      <c r="Y73" s="362"/>
      <c r="Z73" s="362"/>
      <c r="AA73" s="362"/>
      <c r="AB73" s="297">
        <f>W73*(1+$AB$183)*0.99</f>
        <v>0</v>
      </c>
      <c r="AC73" s="358"/>
      <c r="AD73" s="362"/>
      <c r="AE73" s="362"/>
      <c r="AF73" s="362"/>
      <c r="AG73" s="297">
        <f>AB73*(1+$AG$183)*0.99</f>
        <v>0</v>
      </c>
      <c r="AH73" s="358"/>
      <c r="AI73" s="362"/>
      <c r="AJ73" s="362"/>
      <c r="AK73" s="362"/>
      <c r="AL73" s="297">
        <f>AG73*(1+$AL$183)*0.99</f>
        <v>0</v>
      </c>
      <c r="AM73" s="358"/>
      <c r="AN73" s="362"/>
      <c r="AO73" s="362"/>
      <c r="AP73" s="362"/>
      <c r="AQ73" s="298">
        <f>AL73*(1+$AQ$183)*0.99</f>
        <v>0</v>
      </c>
      <c r="AR73" s="20"/>
      <c r="AS73" s="20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</row>
    <row r="74" spans="5:62" s="28" customFormat="1" ht="22.5" customHeight="1" collapsed="1" x14ac:dyDescent="0.3">
      <c r="E74" s="394" t="s">
        <v>102</v>
      </c>
      <c r="F74" s="395" t="s">
        <v>103</v>
      </c>
      <c r="G74" s="396" t="s">
        <v>31</v>
      </c>
      <c r="H74" s="397">
        <v>0</v>
      </c>
      <c r="I74" s="398"/>
      <c r="J74" s="398"/>
      <c r="K74" s="398">
        <f>J74/6*5</f>
        <v>0</v>
      </c>
      <c r="L74" s="399">
        <f>P74/P$22*$L$22</f>
        <v>0</v>
      </c>
      <c r="M74" s="400">
        <v>0</v>
      </c>
      <c r="N74" s="398">
        <v>0</v>
      </c>
      <c r="O74" s="399">
        <v>0</v>
      </c>
      <c r="P74" s="401">
        <v>0</v>
      </c>
      <c r="Q74" s="399">
        <v>0</v>
      </c>
      <c r="R74" s="401">
        <v>0</v>
      </c>
      <c r="S74" s="402">
        <v>0</v>
      </c>
      <c r="T74" s="403">
        <f>T75</f>
        <v>0</v>
      </c>
      <c r="U74" s="403">
        <v>0</v>
      </c>
      <c r="V74" s="403">
        <f t="shared" ref="V74:W74" si="43">V75</f>
        <v>0</v>
      </c>
      <c r="W74" s="404">
        <f t="shared" si="43"/>
        <v>0</v>
      </c>
      <c r="X74" s="402"/>
      <c r="Y74" s="403">
        <f>U74</f>
        <v>0</v>
      </c>
      <c r="Z74" s="347">
        <f>AB74-Y74</f>
        <v>0</v>
      </c>
      <c r="AA74" s="347">
        <f>Z74*2</f>
        <v>0</v>
      </c>
      <c r="AB74" s="398">
        <f>AB75</f>
        <v>0</v>
      </c>
      <c r="AC74" s="398"/>
      <c r="AD74" s="403"/>
      <c r="AE74" s="403"/>
      <c r="AF74" s="403"/>
      <c r="AG74" s="398">
        <f t="shared" ref="AG74:AQ74" si="44">AG75</f>
        <v>0</v>
      </c>
      <c r="AH74" s="398"/>
      <c r="AI74" s="403"/>
      <c r="AJ74" s="403"/>
      <c r="AK74" s="403"/>
      <c r="AL74" s="398">
        <f t="shared" si="44"/>
        <v>0</v>
      </c>
      <c r="AM74" s="398"/>
      <c r="AN74" s="403"/>
      <c r="AO74" s="403"/>
      <c r="AP74" s="403"/>
      <c r="AQ74" s="399">
        <f t="shared" si="44"/>
        <v>0</v>
      </c>
      <c r="AR74" s="112"/>
      <c r="AS74" s="26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/>
      <c r="BF74" s="27"/>
      <c r="BG74" s="27"/>
      <c r="BH74" s="27"/>
      <c r="BI74" s="27"/>
      <c r="BJ74" s="27"/>
    </row>
    <row r="75" spans="5:62" s="21" customFormat="1" ht="22.5" hidden="1" customHeight="1" outlineLevel="2" x14ac:dyDescent="0.3">
      <c r="E75" s="352"/>
      <c r="F75" s="387" t="s">
        <v>104</v>
      </c>
      <c r="G75" s="354" t="s">
        <v>31</v>
      </c>
      <c r="H75" s="355"/>
      <c r="I75" s="358"/>
      <c r="J75" s="358"/>
      <c r="K75" s="358">
        <f>K76+K90+K83+K97+K104</f>
        <v>0</v>
      </c>
      <c r="L75" s="359">
        <f>P75/P$22*$L$22</f>
        <v>0</v>
      </c>
      <c r="M75" s="365"/>
      <c r="N75" s="358"/>
      <c r="O75" s="359">
        <f>O76+O83+O90+O97+O104</f>
        <v>0</v>
      </c>
      <c r="P75" s="360">
        <v>0</v>
      </c>
      <c r="Q75" s="359"/>
      <c r="R75" s="360"/>
      <c r="S75" s="361"/>
      <c r="T75" s="358">
        <f t="shared" ref="T75:V75" si="45">T76+T83+T90+T97+T104</f>
        <v>0</v>
      </c>
      <c r="U75" s="358" t="e">
        <f t="shared" si="45"/>
        <v>#DIV/0!</v>
      </c>
      <c r="V75" s="358">
        <f t="shared" si="45"/>
        <v>0</v>
      </c>
      <c r="W75" s="366">
        <f>W76+W83+W90+W97+W104</f>
        <v>0</v>
      </c>
      <c r="X75" s="361"/>
      <c r="Y75" s="362"/>
      <c r="Z75" s="362"/>
      <c r="AA75" s="362"/>
      <c r="AB75" s="358">
        <f>AB76+AB83+AB90+AB97+AB104</f>
        <v>0</v>
      </c>
      <c r="AC75" s="358"/>
      <c r="AD75" s="362"/>
      <c r="AE75" s="362"/>
      <c r="AF75" s="362"/>
      <c r="AG75" s="358">
        <f>AG76+AG83+AG90+AG97+AG104</f>
        <v>0</v>
      </c>
      <c r="AH75" s="358"/>
      <c r="AI75" s="362"/>
      <c r="AJ75" s="362"/>
      <c r="AK75" s="362"/>
      <c r="AL75" s="358">
        <f>AL76+AL83+AL90+AL97+AL104</f>
        <v>0</v>
      </c>
      <c r="AM75" s="358"/>
      <c r="AN75" s="362"/>
      <c r="AO75" s="362"/>
      <c r="AP75" s="362"/>
      <c r="AQ75" s="359">
        <f>AQ76+AQ83+AQ90+AQ97+AQ104</f>
        <v>0</v>
      </c>
      <c r="AR75" s="20"/>
      <c r="AS75" s="20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</row>
    <row r="76" spans="5:62" s="21" customFormat="1" ht="22.5" hidden="1" customHeight="1" outlineLevel="2" x14ac:dyDescent="0.3">
      <c r="E76" s="352"/>
      <c r="F76" s="405" t="s">
        <v>105</v>
      </c>
      <c r="G76" s="308" t="s">
        <v>106</v>
      </c>
      <c r="H76" s="406"/>
      <c r="I76" s="358"/>
      <c r="J76" s="358"/>
      <c r="K76" s="358">
        <f>J76/6*5</f>
        <v>0</v>
      </c>
      <c r="L76" s="359">
        <f t="shared" ref="L76:L111" si="46">P76/P$22*$L$22</f>
        <v>0</v>
      </c>
      <c r="M76" s="365"/>
      <c r="N76" s="358"/>
      <c r="O76" s="359">
        <f>O79*O77</f>
        <v>0</v>
      </c>
      <c r="P76" s="360">
        <v>0</v>
      </c>
      <c r="Q76" s="359"/>
      <c r="R76" s="360"/>
      <c r="S76" s="361"/>
      <c r="T76" s="297">
        <f>T77*T79</f>
        <v>0</v>
      </c>
      <c r="U76" s="362" t="e">
        <f>U77*U79</f>
        <v>#DIV/0!</v>
      </c>
      <c r="V76" s="362">
        <f>(W76-T76)*2</f>
        <v>0</v>
      </c>
      <c r="W76" s="363">
        <f>W77*W79</f>
        <v>0</v>
      </c>
      <c r="X76" s="361"/>
      <c r="Y76" s="362"/>
      <c r="Z76" s="362"/>
      <c r="AA76" s="362"/>
      <c r="AB76" s="297">
        <f>W76*(1+$AB$186)</f>
        <v>0</v>
      </c>
      <c r="AC76" s="358"/>
      <c r="AD76" s="362"/>
      <c r="AE76" s="362"/>
      <c r="AF76" s="362"/>
      <c r="AG76" s="297">
        <f>AB76*(1+$AG$186)</f>
        <v>0</v>
      </c>
      <c r="AH76" s="358"/>
      <c r="AI76" s="362"/>
      <c r="AJ76" s="362"/>
      <c r="AK76" s="362"/>
      <c r="AL76" s="297">
        <f>AG76*(1+$AG$186)</f>
        <v>0</v>
      </c>
      <c r="AM76" s="358"/>
      <c r="AN76" s="362"/>
      <c r="AO76" s="362"/>
      <c r="AP76" s="362"/>
      <c r="AQ76" s="298">
        <f>AL76*(1+$AG$186)</f>
        <v>0</v>
      </c>
      <c r="AR76" s="20"/>
      <c r="AS76" s="20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</row>
    <row r="77" spans="5:62" s="21" customFormat="1" ht="22.5" hidden="1" customHeight="1" outlineLevel="3" x14ac:dyDescent="0.3">
      <c r="E77" s="352"/>
      <c r="F77" s="407" t="s">
        <v>107</v>
      </c>
      <c r="G77" s="408" t="s">
        <v>108</v>
      </c>
      <c r="H77" s="409"/>
      <c r="I77" s="358"/>
      <c r="J77" s="358"/>
      <c r="K77" s="358">
        <f>J77/6*5</f>
        <v>0</v>
      </c>
      <c r="L77" s="359">
        <f t="shared" si="46"/>
        <v>0</v>
      </c>
      <c r="M77" s="365"/>
      <c r="N77" s="358"/>
      <c r="O77" s="359">
        <f>$M$196*$O$17</f>
        <v>0</v>
      </c>
      <c r="P77" s="360">
        <v>0</v>
      </c>
      <c r="Q77" s="359"/>
      <c r="R77" s="360"/>
      <c r="S77" s="361"/>
      <c r="T77" s="358">
        <f>V77/2</f>
        <v>0</v>
      </c>
      <c r="U77" s="362">
        <f>V77/2</f>
        <v>0</v>
      </c>
      <c r="V77" s="362">
        <f>W77</f>
        <v>0</v>
      </c>
      <c r="W77" s="366">
        <v>0</v>
      </c>
      <c r="X77" s="361"/>
      <c r="Y77" s="362"/>
      <c r="Z77" s="362"/>
      <c r="AA77" s="362"/>
      <c r="AB77" s="358">
        <f>W77</f>
        <v>0</v>
      </c>
      <c r="AC77" s="358"/>
      <c r="AD77" s="362"/>
      <c r="AE77" s="362"/>
      <c r="AF77" s="362"/>
      <c r="AG77" s="358">
        <f>AB77</f>
        <v>0</v>
      </c>
      <c r="AH77" s="358"/>
      <c r="AI77" s="362"/>
      <c r="AJ77" s="362"/>
      <c r="AK77" s="362"/>
      <c r="AL77" s="358">
        <f>AG77</f>
        <v>0</v>
      </c>
      <c r="AM77" s="358"/>
      <c r="AN77" s="362"/>
      <c r="AO77" s="362"/>
      <c r="AP77" s="362"/>
      <c r="AQ77" s="359">
        <f>AL77</f>
        <v>0</v>
      </c>
      <c r="AR77" s="20"/>
      <c r="AS77" s="20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</row>
    <row r="78" spans="5:62" s="21" customFormat="1" ht="22.5" hidden="1" customHeight="1" outlineLevel="3" x14ac:dyDescent="0.3">
      <c r="E78" s="352"/>
      <c r="F78" s="407" t="s">
        <v>109</v>
      </c>
      <c r="G78" s="408" t="s">
        <v>108</v>
      </c>
      <c r="H78" s="409"/>
      <c r="I78" s="358"/>
      <c r="J78" s="358"/>
      <c r="K78" s="358">
        <f>I78</f>
        <v>0</v>
      </c>
      <c r="L78" s="359">
        <f t="shared" si="46"/>
        <v>0</v>
      </c>
      <c r="M78" s="365"/>
      <c r="N78" s="358"/>
      <c r="O78" s="359"/>
      <c r="P78" s="360"/>
      <c r="Q78" s="359"/>
      <c r="R78" s="360"/>
      <c r="S78" s="361"/>
      <c r="T78" s="358"/>
      <c r="U78" s="362"/>
      <c r="V78" s="362"/>
      <c r="W78" s="366"/>
      <c r="X78" s="361"/>
      <c r="Y78" s="362"/>
      <c r="Z78" s="362"/>
      <c r="AA78" s="362"/>
      <c r="AB78" s="358"/>
      <c r="AC78" s="358"/>
      <c r="AD78" s="362"/>
      <c r="AE78" s="362"/>
      <c r="AF78" s="362"/>
      <c r="AG78" s="358"/>
      <c r="AH78" s="358"/>
      <c r="AI78" s="362"/>
      <c r="AJ78" s="362"/>
      <c r="AK78" s="362"/>
      <c r="AL78" s="358"/>
      <c r="AM78" s="358"/>
      <c r="AN78" s="362"/>
      <c r="AO78" s="362"/>
      <c r="AP78" s="362"/>
      <c r="AQ78" s="359"/>
      <c r="AR78" s="20"/>
      <c r="AS78" s="20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</row>
    <row r="79" spans="5:62" s="21" customFormat="1" ht="22.5" hidden="1" customHeight="1" outlineLevel="3" x14ac:dyDescent="0.3">
      <c r="E79" s="352"/>
      <c r="F79" s="407" t="s">
        <v>110</v>
      </c>
      <c r="G79" s="408" t="s">
        <v>111</v>
      </c>
      <c r="H79" s="409"/>
      <c r="I79" s="358"/>
      <c r="J79" s="358"/>
      <c r="K79" s="358" t="e">
        <f>K76/K77</f>
        <v>#DIV/0!</v>
      </c>
      <c r="L79" s="359" t="e">
        <f>L76/L77</f>
        <v>#DIV/0!</v>
      </c>
      <c r="M79" s="360"/>
      <c r="N79" s="358"/>
      <c r="O79" s="370">
        <v>0</v>
      </c>
      <c r="P79" s="360">
        <v>0</v>
      </c>
      <c r="Q79" s="359"/>
      <c r="R79" s="360"/>
      <c r="S79" s="361"/>
      <c r="T79" s="358">
        <f>IF($AR$14="У",10.54,8.78)</f>
        <v>10.54</v>
      </c>
      <c r="U79" s="362" t="e">
        <f>V79</f>
        <v>#DIV/0!</v>
      </c>
      <c r="V79" s="362" t="e">
        <f>V76/V77</f>
        <v>#DIV/0!</v>
      </c>
      <c r="W79" s="366">
        <f>IF($AR$14="У",11.02,9.18)</f>
        <v>11.02</v>
      </c>
      <c r="X79" s="361"/>
      <c r="Y79" s="362"/>
      <c r="Z79" s="362"/>
      <c r="AA79" s="362"/>
      <c r="AB79" s="358" t="e">
        <f>AB76/AB77</f>
        <v>#DIV/0!</v>
      </c>
      <c r="AC79" s="358"/>
      <c r="AD79" s="362"/>
      <c r="AE79" s="362"/>
      <c r="AF79" s="362"/>
      <c r="AG79" s="358" t="e">
        <f>AG76/AG77</f>
        <v>#DIV/0!</v>
      </c>
      <c r="AH79" s="358"/>
      <c r="AI79" s="362"/>
      <c r="AJ79" s="362"/>
      <c r="AK79" s="362"/>
      <c r="AL79" s="358" t="e">
        <f>AL76/AL77</f>
        <v>#DIV/0!</v>
      </c>
      <c r="AM79" s="358"/>
      <c r="AN79" s="362"/>
      <c r="AO79" s="362"/>
      <c r="AP79" s="362"/>
      <c r="AQ79" s="359" t="e">
        <f>AQ76/AQ77</f>
        <v>#DIV/0!</v>
      </c>
      <c r="AR79" s="20"/>
      <c r="AS79" s="20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</row>
    <row r="80" spans="5:62" s="21" customFormat="1" ht="22.5" hidden="1" customHeight="1" outlineLevel="3" x14ac:dyDescent="0.3">
      <c r="E80" s="352"/>
      <c r="F80" s="407" t="s">
        <v>112</v>
      </c>
      <c r="G80" s="408"/>
      <c r="H80" s="410"/>
      <c r="I80" s="358"/>
      <c r="J80" s="358"/>
      <c r="K80" s="358"/>
      <c r="L80" s="359">
        <f t="shared" si="46"/>
        <v>0</v>
      </c>
      <c r="M80" s="365"/>
      <c r="N80" s="358"/>
      <c r="O80" s="359"/>
      <c r="P80" s="360"/>
      <c r="Q80" s="359"/>
      <c r="R80" s="360"/>
      <c r="S80" s="361"/>
      <c r="T80" s="362"/>
      <c r="U80" s="362"/>
      <c r="V80" s="362"/>
      <c r="W80" s="366"/>
      <c r="X80" s="361"/>
      <c r="Y80" s="362"/>
      <c r="Z80" s="362"/>
      <c r="AA80" s="362"/>
      <c r="AB80" s="358"/>
      <c r="AC80" s="358"/>
      <c r="AD80" s="362"/>
      <c r="AE80" s="362"/>
      <c r="AF80" s="362"/>
      <c r="AG80" s="358"/>
      <c r="AH80" s="358"/>
      <c r="AI80" s="362"/>
      <c r="AJ80" s="362"/>
      <c r="AK80" s="362"/>
      <c r="AL80" s="358"/>
      <c r="AM80" s="358"/>
      <c r="AN80" s="362"/>
      <c r="AO80" s="362"/>
      <c r="AP80" s="362"/>
      <c r="AQ80" s="359"/>
      <c r="AR80" s="20"/>
      <c r="AS80" s="20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</row>
    <row r="81" spans="5:62" s="21" customFormat="1" ht="22.5" hidden="1" customHeight="1" outlineLevel="3" x14ac:dyDescent="0.3">
      <c r="E81" s="352"/>
      <c r="F81" s="407" t="s">
        <v>113</v>
      </c>
      <c r="G81" s="408" t="s">
        <v>114</v>
      </c>
      <c r="H81" s="410"/>
      <c r="I81" s="358"/>
      <c r="J81" s="358"/>
      <c r="K81" s="358"/>
      <c r="L81" s="359">
        <f t="shared" si="46"/>
        <v>0</v>
      </c>
      <c r="M81" s="365"/>
      <c r="N81" s="358"/>
      <c r="O81" s="359"/>
      <c r="P81" s="360"/>
      <c r="Q81" s="359"/>
      <c r="R81" s="360"/>
      <c r="S81" s="361"/>
      <c r="T81" s="362"/>
      <c r="U81" s="362"/>
      <c r="V81" s="362"/>
      <c r="W81" s="366"/>
      <c r="X81" s="361"/>
      <c r="Y81" s="362"/>
      <c r="Z81" s="362"/>
      <c r="AA81" s="362"/>
      <c r="AB81" s="358"/>
      <c r="AC81" s="358"/>
      <c r="AD81" s="362"/>
      <c r="AE81" s="362"/>
      <c r="AF81" s="362"/>
      <c r="AG81" s="358"/>
      <c r="AH81" s="358"/>
      <c r="AI81" s="362"/>
      <c r="AJ81" s="362"/>
      <c r="AK81" s="362"/>
      <c r="AL81" s="358"/>
      <c r="AM81" s="358"/>
      <c r="AN81" s="362"/>
      <c r="AO81" s="362"/>
      <c r="AP81" s="362"/>
      <c r="AQ81" s="359"/>
      <c r="AR81" s="20"/>
      <c r="AS81" s="20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</row>
    <row r="82" spans="5:62" s="21" customFormat="1" ht="22.5" hidden="1" customHeight="1" outlineLevel="3" x14ac:dyDescent="0.3">
      <c r="E82" s="352"/>
      <c r="F82" s="407" t="s">
        <v>115</v>
      </c>
      <c r="G82" s="408" t="s">
        <v>111</v>
      </c>
      <c r="H82" s="410"/>
      <c r="I82" s="358"/>
      <c r="J82" s="358"/>
      <c r="K82" s="358"/>
      <c r="L82" s="359">
        <f t="shared" si="46"/>
        <v>0</v>
      </c>
      <c r="M82" s="365"/>
      <c r="N82" s="358"/>
      <c r="O82" s="359"/>
      <c r="P82" s="360"/>
      <c r="Q82" s="359"/>
      <c r="R82" s="360"/>
      <c r="S82" s="361"/>
      <c r="T82" s="362"/>
      <c r="U82" s="362"/>
      <c r="V82" s="362"/>
      <c r="W82" s="366"/>
      <c r="X82" s="361"/>
      <c r="Y82" s="362"/>
      <c r="Z82" s="362"/>
      <c r="AA82" s="362"/>
      <c r="AB82" s="358"/>
      <c r="AC82" s="358"/>
      <c r="AD82" s="362"/>
      <c r="AE82" s="362"/>
      <c r="AF82" s="362"/>
      <c r="AG82" s="358"/>
      <c r="AH82" s="358"/>
      <c r="AI82" s="362"/>
      <c r="AJ82" s="362"/>
      <c r="AK82" s="362"/>
      <c r="AL82" s="358"/>
      <c r="AM82" s="358"/>
      <c r="AN82" s="362"/>
      <c r="AO82" s="362"/>
      <c r="AP82" s="362"/>
      <c r="AQ82" s="359"/>
      <c r="AR82" s="20"/>
      <c r="AS82" s="20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</row>
    <row r="83" spans="5:62" s="21" customFormat="1" ht="22.5" hidden="1" customHeight="1" outlineLevel="2" x14ac:dyDescent="0.3">
      <c r="E83" s="352"/>
      <c r="F83" s="405" t="s">
        <v>116</v>
      </c>
      <c r="G83" s="308" t="s">
        <v>106</v>
      </c>
      <c r="H83" s="360"/>
      <c r="I83" s="358"/>
      <c r="J83" s="358"/>
      <c r="K83" s="358">
        <f>J83/6*5</f>
        <v>0</v>
      </c>
      <c r="L83" s="359">
        <f t="shared" si="46"/>
        <v>0</v>
      </c>
      <c r="M83" s="365"/>
      <c r="N83" s="358"/>
      <c r="O83" s="359">
        <f>O86*O84</f>
        <v>0</v>
      </c>
      <c r="P83" s="360">
        <v>0</v>
      </c>
      <c r="Q83" s="359"/>
      <c r="R83" s="360"/>
      <c r="S83" s="361"/>
      <c r="T83" s="297">
        <f>T84*T86</f>
        <v>0</v>
      </c>
      <c r="U83" s="362" t="e">
        <f>U84*U86</f>
        <v>#DIV/0!</v>
      </c>
      <c r="V83" s="362">
        <f>(W83-T83)*2</f>
        <v>0</v>
      </c>
      <c r="W83" s="363">
        <f>W84*W86</f>
        <v>0</v>
      </c>
      <c r="X83" s="361"/>
      <c r="Y83" s="362"/>
      <c r="Z83" s="411"/>
      <c r="AA83" s="362"/>
      <c r="AB83" s="297">
        <f>W83*(1+$AB$186)</f>
        <v>0</v>
      </c>
      <c r="AC83" s="358"/>
      <c r="AD83" s="362"/>
      <c r="AE83" s="412"/>
      <c r="AF83" s="362"/>
      <c r="AG83" s="297">
        <f>AB83*(1+$AG$186)</f>
        <v>0</v>
      </c>
      <c r="AH83" s="358"/>
      <c r="AI83" s="362"/>
      <c r="AJ83" s="362"/>
      <c r="AK83" s="362"/>
      <c r="AL83" s="297">
        <f>AG83*(1+$AG$186)</f>
        <v>0</v>
      </c>
      <c r="AM83" s="358"/>
      <c r="AN83" s="362"/>
      <c r="AO83" s="362"/>
      <c r="AP83" s="362"/>
      <c r="AQ83" s="298">
        <f>AL83*(1+$AQ$186)</f>
        <v>0</v>
      </c>
      <c r="AR83" s="20"/>
      <c r="AS83" s="20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</row>
    <row r="84" spans="5:62" s="21" customFormat="1" ht="22.5" hidden="1" customHeight="1" outlineLevel="3" x14ac:dyDescent="0.3">
      <c r="E84" s="352"/>
      <c r="F84" s="407" t="s">
        <v>107</v>
      </c>
      <c r="G84" s="408" t="s">
        <v>108</v>
      </c>
      <c r="H84" s="360"/>
      <c r="I84" s="358"/>
      <c r="J84" s="358"/>
      <c r="K84" s="358">
        <f>J84/6*5</f>
        <v>0</v>
      </c>
      <c r="L84" s="359">
        <f t="shared" si="46"/>
        <v>0</v>
      </c>
      <c r="M84" s="365"/>
      <c r="N84" s="358"/>
      <c r="O84" s="359">
        <f>$M$196*$O$17</f>
        <v>0</v>
      </c>
      <c r="P84" s="360">
        <v>0</v>
      </c>
      <c r="Q84" s="359"/>
      <c r="R84" s="360"/>
      <c r="S84" s="361"/>
      <c r="T84" s="358">
        <f>V84/2</f>
        <v>0</v>
      </c>
      <c r="U84" s="362">
        <f>V84/2</f>
        <v>0</v>
      </c>
      <c r="V84" s="362">
        <f>W84</f>
        <v>0</v>
      </c>
      <c r="W84" s="366">
        <v>0</v>
      </c>
      <c r="X84" s="361"/>
      <c r="Y84" s="362"/>
      <c r="Z84" s="362"/>
      <c r="AA84" s="362"/>
      <c r="AB84" s="358">
        <f>W84</f>
        <v>0</v>
      </c>
      <c r="AC84" s="358"/>
      <c r="AD84" s="362"/>
      <c r="AE84" s="412"/>
      <c r="AF84" s="362"/>
      <c r="AG84" s="358">
        <f>AB84</f>
        <v>0</v>
      </c>
      <c r="AH84" s="358"/>
      <c r="AI84" s="362"/>
      <c r="AJ84" s="362"/>
      <c r="AK84" s="362"/>
      <c r="AL84" s="358">
        <f>AG84</f>
        <v>0</v>
      </c>
      <c r="AM84" s="358"/>
      <c r="AN84" s="362"/>
      <c r="AO84" s="362"/>
      <c r="AP84" s="362"/>
      <c r="AQ84" s="359">
        <f>AL84</f>
        <v>0</v>
      </c>
      <c r="AR84" s="20"/>
      <c r="AS84" s="20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</row>
    <row r="85" spans="5:62" s="21" customFormat="1" ht="22.5" hidden="1" customHeight="1" outlineLevel="3" x14ac:dyDescent="0.3">
      <c r="E85" s="352"/>
      <c r="F85" s="407" t="s">
        <v>109</v>
      </c>
      <c r="G85" s="408" t="s">
        <v>108</v>
      </c>
      <c r="H85" s="360"/>
      <c r="I85" s="358"/>
      <c r="J85" s="358"/>
      <c r="K85" s="358">
        <f>I85</f>
        <v>0</v>
      </c>
      <c r="L85" s="359">
        <f t="shared" si="46"/>
        <v>0</v>
      </c>
      <c r="M85" s="365"/>
      <c r="N85" s="358"/>
      <c r="O85" s="359"/>
      <c r="P85" s="360"/>
      <c r="Q85" s="359"/>
      <c r="R85" s="360"/>
      <c r="S85" s="361"/>
      <c r="T85" s="358"/>
      <c r="U85" s="362"/>
      <c r="V85" s="362"/>
      <c r="W85" s="366"/>
      <c r="X85" s="361"/>
      <c r="Y85" s="362"/>
      <c r="Z85" s="362"/>
      <c r="AA85" s="362"/>
      <c r="AB85" s="358"/>
      <c r="AC85" s="358"/>
      <c r="AD85" s="362"/>
      <c r="AE85" s="362"/>
      <c r="AF85" s="362"/>
      <c r="AG85" s="358"/>
      <c r="AH85" s="358"/>
      <c r="AI85" s="362"/>
      <c r="AJ85" s="362"/>
      <c r="AK85" s="362"/>
      <c r="AL85" s="358"/>
      <c r="AM85" s="358"/>
      <c r="AN85" s="362"/>
      <c r="AO85" s="362"/>
      <c r="AP85" s="362"/>
      <c r="AQ85" s="359"/>
      <c r="AR85" s="20"/>
      <c r="AS85" s="20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</row>
    <row r="86" spans="5:62" s="21" customFormat="1" ht="22.5" hidden="1" customHeight="1" outlineLevel="3" x14ac:dyDescent="0.3">
      <c r="E86" s="352"/>
      <c r="F86" s="407" t="s">
        <v>110</v>
      </c>
      <c r="G86" s="408" t="s">
        <v>111</v>
      </c>
      <c r="H86" s="360"/>
      <c r="I86" s="358"/>
      <c r="J86" s="358"/>
      <c r="K86" s="358" t="e">
        <f>K83/K84</f>
        <v>#DIV/0!</v>
      </c>
      <c r="L86" s="359" t="e">
        <f>L83/L84</f>
        <v>#DIV/0!</v>
      </c>
      <c r="M86" s="360"/>
      <c r="N86" s="358"/>
      <c r="O86" s="370">
        <v>0</v>
      </c>
      <c r="P86" s="360">
        <v>0</v>
      </c>
      <c r="Q86" s="359"/>
      <c r="R86" s="360"/>
      <c r="S86" s="361"/>
      <c r="T86" s="358">
        <f>IF($AR$14="У",7.04,5.86)</f>
        <v>7.04</v>
      </c>
      <c r="U86" s="362" t="e">
        <f>V86</f>
        <v>#DIV/0!</v>
      </c>
      <c r="V86" s="362" t="e">
        <f>V83/V84</f>
        <v>#DIV/0!</v>
      </c>
      <c r="W86" s="366">
        <f>IF($AR$14="У",7.36,6.13)</f>
        <v>7.36</v>
      </c>
      <c r="X86" s="361"/>
      <c r="Y86" s="362"/>
      <c r="Z86" s="362"/>
      <c r="AA86" s="362"/>
      <c r="AB86" s="358" t="e">
        <f>AB83/AB84</f>
        <v>#DIV/0!</v>
      </c>
      <c r="AC86" s="358"/>
      <c r="AD86" s="362"/>
      <c r="AE86" s="362"/>
      <c r="AF86" s="362"/>
      <c r="AG86" s="358" t="e">
        <f>AG83/AG84</f>
        <v>#DIV/0!</v>
      </c>
      <c r="AH86" s="358"/>
      <c r="AI86" s="362"/>
      <c r="AJ86" s="362"/>
      <c r="AK86" s="362"/>
      <c r="AL86" s="358" t="e">
        <f>AL83/AL84</f>
        <v>#DIV/0!</v>
      </c>
      <c r="AM86" s="358"/>
      <c r="AN86" s="362"/>
      <c r="AO86" s="362"/>
      <c r="AP86" s="362"/>
      <c r="AQ86" s="359" t="e">
        <f>AQ83/AQ84</f>
        <v>#DIV/0!</v>
      </c>
      <c r="AR86" s="20"/>
      <c r="AS86" s="20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</row>
    <row r="87" spans="5:62" s="21" customFormat="1" ht="22.5" hidden="1" customHeight="1" outlineLevel="3" x14ac:dyDescent="0.3">
      <c r="E87" s="352"/>
      <c r="F87" s="407" t="s">
        <v>112</v>
      </c>
      <c r="G87" s="408"/>
      <c r="H87" s="360"/>
      <c r="I87" s="358"/>
      <c r="J87" s="358"/>
      <c r="K87" s="358"/>
      <c r="L87" s="359">
        <f t="shared" si="46"/>
        <v>0</v>
      </c>
      <c r="M87" s="365"/>
      <c r="N87" s="358"/>
      <c r="O87" s="359"/>
      <c r="P87" s="360"/>
      <c r="Q87" s="359"/>
      <c r="R87" s="360"/>
      <c r="S87" s="361"/>
      <c r="T87" s="362"/>
      <c r="U87" s="362"/>
      <c r="V87" s="362"/>
      <c r="W87" s="366"/>
      <c r="X87" s="361"/>
      <c r="Y87" s="362"/>
      <c r="Z87" s="362"/>
      <c r="AA87" s="362"/>
      <c r="AB87" s="358"/>
      <c r="AC87" s="358"/>
      <c r="AD87" s="362"/>
      <c r="AE87" s="362"/>
      <c r="AF87" s="362"/>
      <c r="AG87" s="358"/>
      <c r="AH87" s="358"/>
      <c r="AI87" s="362"/>
      <c r="AJ87" s="362"/>
      <c r="AK87" s="362"/>
      <c r="AL87" s="358"/>
      <c r="AM87" s="358"/>
      <c r="AN87" s="362"/>
      <c r="AO87" s="362"/>
      <c r="AP87" s="362"/>
      <c r="AQ87" s="359"/>
      <c r="AR87" s="20"/>
      <c r="AS87" s="20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</row>
    <row r="88" spans="5:62" s="21" customFormat="1" ht="22.5" hidden="1" customHeight="1" outlineLevel="3" x14ac:dyDescent="0.3">
      <c r="E88" s="352"/>
      <c r="F88" s="407" t="s">
        <v>113</v>
      </c>
      <c r="G88" s="408" t="s">
        <v>114</v>
      </c>
      <c r="H88" s="360"/>
      <c r="I88" s="358"/>
      <c r="J88" s="358"/>
      <c r="K88" s="358"/>
      <c r="L88" s="359">
        <f t="shared" si="46"/>
        <v>0</v>
      </c>
      <c r="M88" s="365"/>
      <c r="N88" s="358"/>
      <c r="O88" s="359"/>
      <c r="P88" s="360"/>
      <c r="Q88" s="359"/>
      <c r="R88" s="360"/>
      <c r="S88" s="361"/>
      <c r="T88" s="362"/>
      <c r="U88" s="362"/>
      <c r="V88" s="362"/>
      <c r="W88" s="366"/>
      <c r="X88" s="361"/>
      <c r="Y88" s="362"/>
      <c r="Z88" s="362"/>
      <c r="AA88" s="362"/>
      <c r="AB88" s="358"/>
      <c r="AC88" s="358"/>
      <c r="AD88" s="362"/>
      <c r="AE88" s="362"/>
      <c r="AF88" s="362"/>
      <c r="AG88" s="358"/>
      <c r="AH88" s="358"/>
      <c r="AI88" s="362"/>
      <c r="AJ88" s="362"/>
      <c r="AK88" s="362"/>
      <c r="AL88" s="358"/>
      <c r="AM88" s="358"/>
      <c r="AN88" s="362"/>
      <c r="AO88" s="362"/>
      <c r="AP88" s="362"/>
      <c r="AQ88" s="359"/>
      <c r="AR88" s="20"/>
      <c r="AS88" s="20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</row>
    <row r="89" spans="5:62" s="21" customFormat="1" ht="22.5" hidden="1" customHeight="1" outlineLevel="3" x14ac:dyDescent="0.3">
      <c r="E89" s="352"/>
      <c r="F89" s="407" t="s">
        <v>115</v>
      </c>
      <c r="G89" s="408" t="s">
        <v>111</v>
      </c>
      <c r="H89" s="360"/>
      <c r="I89" s="358"/>
      <c r="J89" s="358"/>
      <c r="K89" s="358">
        <f>I89/6*5</f>
        <v>0</v>
      </c>
      <c r="L89" s="359">
        <f t="shared" si="46"/>
        <v>0</v>
      </c>
      <c r="M89" s="365"/>
      <c r="N89" s="358"/>
      <c r="O89" s="359"/>
      <c r="P89" s="360"/>
      <c r="Q89" s="359"/>
      <c r="R89" s="360"/>
      <c r="S89" s="361"/>
      <c r="T89" s="362"/>
      <c r="U89" s="362"/>
      <c r="V89" s="362"/>
      <c r="W89" s="366"/>
      <c r="X89" s="361"/>
      <c r="Y89" s="362"/>
      <c r="Z89" s="362"/>
      <c r="AA89" s="362"/>
      <c r="AB89" s="358"/>
      <c r="AC89" s="358"/>
      <c r="AD89" s="362"/>
      <c r="AE89" s="362"/>
      <c r="AF89" s="362"/>
      <c r="AG89" s="358"/>
      <c r="AH89" s="358"/>
      <c r="AI89" s="362"/>
      <c r="AJ89" s="362"/>
      <c r="AK89" s="362"/>
      <c r="AL89" s="358"/>
      <c r="AM89" s="358"/>
      <c r="AN89" s="362"/>
      <c r="AO89" s="362"/>
      <c r="AP89" s="362"/>
      <c r="AQ89" s="359"/>
      <c r="AR89" s="20"/>
      <c r="AS89" s="20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</row>
    <row r="90" spans="5:62" s="21" customFormat="1" ht="22.5" hidden="1" customHeight="1" outlineLevel="2" x14ac:dyDescent="0.3">
      <c r="E90" s="352"/>
      <c r="F90" s="405" t="s">
        <v>117</v>
      </c>
      <c r="G90" s="308" t="s">
        <v>106</v>
      </c>
      <c r="H90" s="360"/>
      <c r="I90" s="358"/>
      <c r="J90" s="358"/>
      <c r="K90" s="358">
        <f>J90/6*5</f>
        <v>0</v>
      </c>
      <c r="L90" s="359">
        <f t="shared" si="46"/>
        <v>0</v>
      </c>
      <c r="M90" s="365"/>
      <c r="N90" s="358"/>
      <c r="O90" s="359">
        <f>O93*O91</f>
        <v>0</v>
      </c>
      <c r="P90" s="360">
        <v>0</v>
      </c>
      <c r="Q90" s="359"/>
      <c r="R90" s="360"/>
      <c r="S90" s="361"/>
      <c r="T90" s="297">
        <f>T91*T93</f>
        <v>0</v>
      </c>
      <c r="U90" s="362" t="e">
        <f>U91*U93</f>
        <v>#DIV/0!</v>
      </c>
      <c r="V90" s="362">
        <f>(W90-T90)*2</f>
        <v>0</v>
      </c>
      <c r="W90" s="363">
        <f>W91*W93</f>
        <v>0</v>
      </c>
      <c r="X90" s="361"/>
      <c r="Y90" s="362"/>
      <c r="Z90" s="362"/>
      <c r="AA90" s="362"/>
      <c r="AB90" s="297">
        <f>W90*(1+$AB$186)</f>
        <v>0</v>
      </c>
      <c r="AC90" s="358"/>
      <c r="AD90" s="362"/>
      <c r="AE90" s="362"/>
      <c r="AF90" s="362"/>
      <c r="AG90" s="297">
        <f>AB90*(1+$AG$186)</f>
        <v>0</v>
      </c>
      <c r="AH90" s="358"/>
      <c r="AI90" s="362"/>
      <c r="AJ90" s="362"/>
      <c r="AK90" s="362"/>
      <c r="AL90" s="297">
        <f>AG90*(1+$AG$186)</f>
        <v>0</v>
      </c>
      <c r="AM90" s="358"/>
      <c r="AN90" s="362"/>
      <c r="AO90" s="362"/>
      <c r="AP90" s="362"/>
      <c r="AQ90" s="298">
        <f>AL90*(1+$AG$186)</f>
        <v>0</v>
      </c>
      <c r="AR90" s="20"/>
      <c r="AS90" s="20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5:62" s="21" customFormat="1" ht="22.5" hidden="1" customHeight="1" outlineLevel="3" x14ac:dyDescent="0.3">
      <c r="E91" s="352"/>
      <c r="F91" s="407" t="s">
        <v>107</v>
      </c>
      <c r="G91" s="408" t="s">
        <v>108</v>
      </c>
      <c r="H91" s="360"/>
      <c r="I91" s="358"/>
      <c r="J91" s="358"/>
      <c r="K91" s="358">
        <f>J91/6*5</f>
        <v>0</v>
      </c>
      <c r="L91" s="359">
        <f t="shared" si="46"/>
        <v>0</v>
      </c>
      <c r="M91" s="365"/>
      <c r="N91" s="358"/>
      <c r="O91" s="359">
        <f>$M$196*$O$17</f>
        <v>0</v>
      </c>
      <c r="P91" s="360">
        <v>0</v>
      </c>
      <c r="Q91" s="359"/>
      <c r="R91" s="360"/>
      <c r="S91" s="361"/>
      <c r="T91" s="358">
        <f>V91/2</f>
        <v>0</v>
      </c>
      <c r="U91" s="362">
        <f>V91/2</f>
        <v>0</v>
      </c>
      <c r="V91" s="362">
        <f>W91</f>
        <v>0</v>
      </c>
      <c r="W91" s="366">
        <v>0</v>
      </c>
      <c r="X91" s="361"/>
      <c r="Y91" s="362"/>
      <c r="Z91" s="362"/>
      <c r="AA91" s="362"/>
      <c r="AB91" s="358">
        <f>W91</f>
        <v>0</v>
      </c>
      <c r="AC91" s="358"/>
      <c r="AD91" s="362"/>
      <c r="AE91" s="362"/>
      <c r="AF91" s="362"/>
      <c r="AG91" s="358">
        <f>AB91</f>
        <v>0</v>
      </c>
      <c r="AH91" s="358"/>
      <c r="AI91" s="362"/>
      <c r="AJ91" s="362"/>
      <c r="AK91" s="362"/>
      <c r="AL91" s="358">
        <f>AG91</f>
        <v>0</v>
      </c>
      <c r="AM91" s="358"/>
      <c r="AN91" s="362"/>
      <c r="AO91" s="362"/>
      <c r="AP91" s="362"/>
      <c r="AQ91" s="359">
        <f>AL91</f>
        <v>0</v>
      </c>
      <c r="AR91" s="20"/>
      <c r="AS91" s="20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</row>
    <row r="92" spans="5:62" s="21" customFormat="1" ht="22.5" hidden="1" customHeight="1" outlineLevel="3" x14ac:dyDescent="0.3">
      <c r="E92" s="352"/>
      <c r="F92" s="407" t="s">
        <v>109</v>
      </c>
      <c r="G92" s="408" t="s">
        <v>108</v>
      </c>
      <c r="H92" s="360"/>
      <c r="I92" s="358"/>
      <c r="J92" s="358"/>
      <c r="K92" s="358">
        <f>I92</f>
        <v>0</v>
      </c>
      <c r="L92" s="359">
        <f t="shared" si="46"/>
        <v>0</v>
      </c>
      <c r="M92" s="365"/>
      <c r="N92" s="358"/>
      <c r="O92" s="359"/>
      <c r="P92" s="360"/>
      <c r="Q92" s="359"/>
      <c r="R92" s="360"/>
      <c r="S92" s="361"/>
      <c r="T92" s="358"/>
      <c r="U92" s="362"/>
      <c r="V92" s="362"/>
      <c r="W92" s="366"/>
      <c r="X92" s="361"/>
      <c r="Y92" s="362"/>
      <c r="Z92" s="362"/>
      <c r="AA92" s="362"/>
      <c r="AB92" s="358"/>
      <c r="AC92" s="358"/>
      <c r="AD92" s="362"/>
      <c r="AE92" s="362"/>
      <c r="AF92" s="362"/>
      <c r="AG92" s="358"/>
      <c r="AH92" s="358"/>
      <c r="AI92" s="362"/>
      <c r="AJ92" s="362"/>
      <c r="AK92" s="362"/>
      <c r="AL92" s="358"/>
      <c r="AM92" s="358"/>
      <c r="AN92" s="362"/>
      <c r="AO92" s="362"/>
      <c r="AP92" s="362"/>
      <c r="AQ92" s="359"/>
      <c r="AR92" s="20"/>
      <c r="AS92" s="20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</row>
    <row r="93" spans="5:62" s="21" customFormat="1" ht="22.5" hidden="1" customHeight="1" outlineLevel="3" x14ac:dyDescent="0.3">
      <c r="E93" s="352"/>
      <c r="F93" s="407" t="s">
        <v>110</v>
      </c>
      <c r="G93" s="408" t="s">
        <v>111</v>
      </c>
      <c r="H93" s="360"/>
      <c r="I93" s="358"/>
      <c r="J93" s="358"/>
      <c r="K93" s="358" t="e">
        <f>K90/K91</f>
        <v>#DIV/0!</v>
      </c>
      <c r="L93" s="359" t="e">
        <f>L90/L91</f>
        <v>#DIV/0!</v>
      </c>
      <c r="M93" s="360"/>
      <c r="N93" s="358"/>
      <c r="O93" s="370">
        <v>0</v>
      </c>
      <c r="P93" s="360">
        <v>0</v>
      </c>
      <c r="Q93" s="359"/>
      <c r="R93" s="360"/>
      <c r="S93" s="361"/>
      <c r="T93" s="358">
        <f>IF($AR$14="У",8.21,6.84)</f>
        <v>8.2100000000000009</v>
      </c>
      <c r="U93" s="362" t="e">
        <f>V93</f>
        <v>#DIV/0!</v>
      </c>
      <c r="V93" s="362" t="e">
        <f>V90/V91</f>
        <v>#DIV/0!</v>
      </c>
      <c r="W93" s="366">
        <f>IF($AR$14="У",8.59,7.16)</f>
        <v>8.59</v>
      </c>
      <c r="X93" s="361"/>
      <c r="Y93" s="362"/>
      <c r="Z93" s="362"/>
      <c r="AA93" s="362"/>
      <c r="AB93" s="358" t="e">
        <f>AB90/AB91</f>
        <v>#DIV/0!</v>
      </c>
      <c r="AC93" s="358"/>
      <c r="AD93" s="362"/>
      <c r="AE93" s="362"/>
      <c r="AF93" s="362"/>
      <c r="AG93" s="358" t="e">
        <f>AG90/AG91</f>
        <v>#DIV/0!</v>
      </c>
      <c r="AH93" s="358"/>
      <c r="AI93" s="362"/>
      <c r="AJ93" s="362"/>
      <c r="AK93" s="362"/>
      <c r="AL93" s="358" t="e">
        <f>AL90/AL91</f>
        <v>#DIV/0!</v>
      </c>
      <c r="AM93" s="358"/>
      <c r="AN93" s="362"/>
      <c r="AO93" s="362"/>
      <c r="AP93" s="362"/>
      <c r="AQ93" s="359" t="e">
        <f>AQ90/AQ91</f>
        <v>#DIV/0!</v>
      </c>
      <c r="AR93" s="20"/>
      <c r="AS93" s="20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</row>
    <row r="94" spans="5:62" s="21" customFormat="1" ht="22.5" hidden="1" customHeight="1" outlineLevel="3" x14ac:dyDescent="0.3">
      <c r="E94" s="352"/>
      <c r="F94" s="407" t="s">
        <v>112</v>
      </c>
      <c r="G94" s="408"/>
      <c r="H94" s="360"/>
      <c r="I94" s="358"/>
      <c r="J94" s="358"/>
      <c r="K94" s="358"/>
      <c r="L94" s="359">
        <f t="shared" si="46"/>
        <v>0</v>
      </c>
      <c r="M94" s="365"/>
      <c r="N94" s="358"/>
      <c r="O94" s="359"/>
      <c r="P94" s="360"/>
      <c r="Q94" s="359"/>
      <c r="R94" s="360"/>
      <c r="S94" s="361"/>
      <c r="T94" s="362"/>
      <c r="U94" s="362"/>
      <c r="V94" s="362"/>
      <c r="W94" s="366"/>
      <c r="X94" s="361"/>
      <c r="Y94" s="362"/>
      <c r="Z94" s="362"/>
      <c r="AA94" s="362"/>
      <c r="AB94" s="358"/>
      <c r="AC94" s="358"/>
      <c r="AD94" s="362"/>
      <c r="AE94" s="362"/>
      <c r="AF94" s="362"/>
      <c r="AG94" s="358"/>
      <c r="AH94" s="358"/>
      <c r="AI94" s="362"/>
      <c r="AJ94" s="362"/>
      <c r="AK94" s="362"/>
      <c r="AL94" s="358"/>
      <c r="AM94" s="358"/>
      <c r="AN94" s="362"/>
      <c r="AO94" s="362"/>
      <c r="AP94" s="362"/>
      <c r="AQ94" s="359"/>
      <c r="AR94" s="20"/>
      <c r="AS94" s="20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</row>
    <row r="95" spans="5:62" s="21" customFormat="1" ht="22.5" hidden="1" customHeight="1" outlineLevel="3" x14ac:dyDescent="0.3">
      <c r="E95" s="352"/>
      <c r="F95" s="407" t="s">
        <v>113</v>
      </c>
      <c r="G95" s="408" t="s">
        <v>114</v>
      </c>
      <c r="H95" s="360"/>
      <c r="I95" s="358"/>
      <c r="J95" s="358"/>
      <c r="K95" s="358"/>
      <c r="L95" s="359">
        <f t="shared" si="46"/>
        <v>0</v>
      </c>
      <c r="M95" s="365"/>
      <c r="N95" s="358"/>
      <c r="O95" s="359"/>
      <c r="P95" s="360"/>
      <c r="Q95" s="359"/>
      <c r="R95" s="360"/>
      <c r="S95" s="361"/>
      <c r="T95" s="362"/>
      <c r="U95" s="362"/>
      <c r="V95" s="362"/>
      <c r="W95" s="366"/>
      <c r="X95" s="361"/>
      <c r="Y95" s="362"/>
      <c r="Z95" s="362"/>
      <c r="AA95" s="362"/>
      <c r="AB95" s="358"/>
      <c r="AC95" s="358"/>
      <c r="AD95" s="362"/>
      <c r="AE95" s="362"/>
      <c r="AF95" s="362"/>
      <c r="AG95" s="358"/>
      <c r="AH95" s="358"/>
      <c r="AI95" s="362"/>
      <c r="AJ95" s="362"/>
      <c r="AK95" s="362"/>
      <c r="AL95" s="358"/>
      <c r="AM95" s="358"/>
      <c r="AN95" s="362"/>
      <c r="AO95" s="362"/>
      <c r="AP95" s="362"/>
      <c r="AQ95" s="359"/>
      <c r="AR95" s="20"/>
      <c r="AS95" s="20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</row>
    <row r="96" spans="5:62" s="21" customFormat="1" ht="22.5" hidden="1" customHeight="1" outlineLevel="3" x14ac:dyDescent="0.3">
      <c r="E96" s="352"/>
      <c r="F96" s="407" t="s">
        <v>115</v>
      </c>
      <c r="G96" s="408" t="s">
        <v>111</v>
      </c>
      <c r="H96" s="360"/>
      <c r="I96" s="358"/>
      <c r="J96" s="358"/>
      <c r="K96" s="358"/>
      <c r="L96" s="359">
        <f t="shared" si="46"/>
        <v>0</v>
      </c>
      <c r="M96" s="365"/>
      <c r="N96" s="358"/>
      <c r="O96" s="359"/>
      <c r="P96" s="360"/>
      <c r="Q96" s="359"/>
      <c r="R96" s="360"/>
      <c r="S96" s="361"/>
      <c r="T96" s="362"/>
      <c r="U96" s="362"/>
      <c r="V96" s="362"/>
      <c r="W96" s="366"/>
      <c r="X96" s="361"/>
      <c r="Y96" s="362"/>
      <c r="Z96" s="362"/>
      <c r="AA96" s="362"/>
      <c r="AB96" s="358"/>
      <c r="AC96" s="358"/>
      <c r="AD96" s="362"/>
      <c r="AE96" s="362"/>
      <c r="AF96" s="362"/>
      <c r="AG96" s="358"/>
      <c r="AH96" s="358"/>
      <c r="AI96" s="362"/>
      <c r="AJ96" s="362"/>
      <c r="AK96" s="362"/>
      <c r="AL96" s="358"/>
      <c r="AM96" s="358"/>
      <c r="AN96" s="362"/>
      <c r="AO96" s="362"/>
      <c r="AP96" s="362"/>
      <c r="AQ96" s="359"/>
      <c r="AR96" s="20"/>
      <c r="AS96" s="20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</row>
    <row r="97" spans="5:62" s="21" customFormat="1" ht="22.5" hidden="1" customHeight="1" outlineLevel="2" x14ac:dyDescent="0.3">
      <c r="E97" s="352"/>
      <c r="F97" s="405" t="s">
        <v>118</v>
      </c>
      <c r="G97" s="308" t="s">
        <v>106</v>
      </c>
      <c r="H97" s="360"/>
      <c r="I97" s="358"/>
      <c r="J97" s="358"/>
      <c r="K97" s="358">
        <f>J97/6*5</f>
        <v>0</v>
      </c>
      <c r="L97" s="359">
        <f t="shared" si="46"/>
        <v>0</v>
      </c>
      <c r="M97" s="365"/>
      <c r="N97" s="358"/>
      <c r="O97" s="359">
        <f>O100*O98</f>
        <v>0</v>
      </c>
      <c r="P97" s="360">
        <v>0</v>
      </c>
      <c r="Q97" s="359"/>
      <c r="R97" s="360"/>
      <c r="S97" s="361"/>
      <c r="T97" s="297">
        <f>T98*T100</f>
        <v>0</v>
      </c>
      <c r="U97" s="362" t="e">
        <f>U98*U100</f>
        <v>#DIV/0!</v>
      </c>
      <c r="V97" s="362">
        <f>(W97-T97)*2</f>
        <v>0</v>
      </c>
      <c r="W97" s="363">
        <f>W98*W100</f>
        <v>0</v>
      </c>
      <c r="X97" s="361"/>
      <c r="Y97" s="362"/>
      <c r="Z97" s="362"/>
      <c r="AA97" s="362"/>
      <c r="AB97" s="297">
        <f>W97*(1+$AB$186)</f>
        <v>0</v>
      </c>
      <c r="AC97" s="358"/>
      <c r="AD97" s="362"/>
      <c r="AE97" s="362"/>
      <c r="AF97" s="362"/>
      <c r="AG97" s="297">
        <f>AB97*(1+$AG$186)</f>
        <v>0</v>
      </c>
      <c r="AH97" s="358"/>
      <c r="AI97" s="362"/>
      <c r="AJ97" s="362"/>
      <c r="AK97" s="362"/>
      <c r="AL97" s="297">
        <f>AG97*(1+$AG$186)</f>
        <v>0</v>
      </c>
      <c r="AM97" s="358"/>
      <c r="AN97" s="362"/>
      <c r="AO97" s="362"/>
      <c r="AP97" s="362"/>
      <c r="AQ97" s="298">
        <f>AL97*(1+$AG$186)</f>
        <v>0</v>
      </c>
      <c r="AR97" s="20"/>
      <c r="AS97" s="20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5:62" s="21" customFormat="1" ht="22.5" hidden="1" customHeight="1" outlineLevel="3" x14ac:dyDescent="0.3">
      <c r="E98" s="352"/>
      <c r="F98" s="407" t="s">
        <v>107</v>
      </c>
      <c r="G98" s="408" t="s">
        <v>108</v>
      </c>
      <c r="H98" s="360"/>
      <c r="I98" s="358"/>
      <c r="J98" s="358"/>
      <c r="K98" s="358">
        <f>J98/6*5</f>
        <v>0</v>
      </c>
      <c r="L98" s="359">
        <f t="shared" si="46"/>
        <v>0</v>
      </c>
      <c r="M98" s="365"/>
      <c r="N98" s="358"/>
      <c r="O98" s="359">
        <f>$M$196*$O$17</f>
        <v>0</v>
      </c>
      <c r="P98" s="360">
        <v>0</v>
      </c>
      <c r="Q98" s="359"/>
      <c r="R98" s="360"/>
      <c r="S98" s="361"/>
      <c r="T98" s="358">
        <f>V98/2</f>
        <v>0</v>
      </c>
      <c r="U98" s="362">
        <f>V98/2</f>
        <v>0</v>
      </c>
      <c r="V98" s="362">
        <f>W98</f>
        <v>0</v>
      </c>
      <c r="W98" s="366">
        <v>0</v>
      </c>
      <c r="X98" s="361"/>
      <c r="Y98" s="362"/>
      <c r="Z98" s="362"/>
      <c r="AA98" s="362"/>
      <c r="AB98" s="358">
        <f>W98</f>
        <v>0</v>
      </c>
      <c r="AC98" s="358"/>
      <c r="AD98" s="362"/>
      <c r="AE98" s="362"/>
      <c r="AF98" s="362"/>
      <c r="AG98" s="358">
        <f>AB98</f>
        <v>0</v>
      </c>
      <c r="AH98" s="358"/>
      <c r="AI98" s="362"/>
      <c r="AJ98" s="362"/>
      <c r="AK98" s="362"/>
      <c r="AL98" s="358">
        <f>AG98</f>
        <v>0</v>
      </c>
      <c r="AM98" s="358"/>
      <c r="AN98" s="362"/>
      <c r="AO98" s="362"/>
      <c r="AP98" s="362"/>
      <c r="AQ98" s="359">
        <f>AL98</f>
        <v>0</v>
      </c>
      <c r="AR98" s="20"/>
      <c r="AS98" s="20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</row>
    <row r="99" spans="5:62" s="21" customFormat="1" ht="22.5" hidden="1" customHeight="1" outlineLevel="3" x14ac:dyDescent="0.3">
      <c r="E99" s="352"/>
      <c r="F99" s="407" t="s">
        <v>109</v>
      </c>
      <c r="G99" s="408" t="s">
        <v>108</v>
      </c>
      <c r="H99" s="360"/>
      <c r="I99" s="358"/>
      <c r="J99" s="358"/>
      <c r="K99" s="358">
        <f>I99</f>
        <v>0</v>
      </c>
      <c r="L99" s="359">
        <f t="shared" si="46"/>
        <v>0</v>
      </c>
      <c r="M99" s="365"/>
      <c r="N99" s="358"/>
      <c r="O99" s="359"/>
      <c r="P99" s="360"/>
      <c r="Q99" s="359"/>
      <c r="R99" s="360"/>
      <c r="S99" s="361"/>
      <c r="T99" s="358"/>
      <c r="U99" s="362"/>
      <c r="V99" s="362"/>
      <c r="W99" s="366"/>
      <c r="X99" s="361"/>
      <c r="Y99" s="362"/>
      <c r="Z99" s="362"/>
      <c r="AA99" s="362"/>
      <c r="AB99" s="358"/>
      <c r="AC99" s="358"/>
      <c r="AD99" s="362"/>
      <c r="AE99" s="362"/>
      <c r="AF99" s="362"/>
      <c r="AG99" s="358"/>
      <c r="AH99" s="358"/>
      <c r="AI99" s="362"/>
      <c r="AJ99" s="362"/>
      <c r="AK99" s="362"/>
      <c r="AL99" s="358"/>
      <c r="AM99" s="358"/>
      <c r="AN99" s="362"/>
      <c r="AO99" s="362"/>
      <c r="AP99" s="362"/>
      <c r="AQ99" s="359"/>
      <c r="AR99" s="20"/>
      <c r="AS99" s="20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</row>
    <row r="100" spans="5:62" s="21" customFormat="1" ht="22.5" hidden="1" customHeight="1" outlineLevel="3" x14ac:dyDescent="0.3">
      <c r="E100" s="352"/>
      <c r="F100" s="407" t="s">
        <v>110</v>
      </c>
      <c r="G100" s="408" t="s">
        <v>111</v>
      </c>
      <c r="H100" s="360"/>
      <c r="I100" s="358"/>
      <c r="J100" s="358"/>
      <c r="K100" s="358" t="e">
        <f>K97/K98</f>
        <v>#DIV/0!</v>
      </c>
      <c r="L100" s="359" t="e">
        <f>L97/L98</f>
        <v>#DIV/0!</v>
      </c>
      <c r="M100" s="360"/>
      <c r="N100" s="358"/>
      <c r="O100" s="370">
        <v>0</v>
      </c>
      <c r="P100" s="360">
        <v>0</v>
      </c>
      <c r="Q100" s="359"/>
      <c r="R100" s="360"/>
      <c r="S100" s="361"/>
      <c r="T100" s="358">
        <f>IF($AR$14="У",5.64,4.7)</f>
        <v>5.64</v>
      </c>
      <c r="U100" s="362" t="e">
        <f>V100</f>
        <v>#DIV/0!</v>
      </c>
      <c r="V100" s="362" t="e">
        <f>V97/V98</f>
        <v>#DIV/0!</v>
      </c>
      <c r="W100" s="366">
        <f>IF($AR$14="У",5.89,4.91)</f>
        <v>5.89</v>
      </c>
      <c r="X100" s="361"/>
      <c r="Y100" s="362"/>
      <c r="Z100" s="362"/>
      <c r="AA100" s="362"/>
      <c r="AB100" s="358" t="e">
        <f>AB97/AB98</f>
        <v>#DIV/0!</v>
      </c>
      <c r="AC100" s="358"/>
      <c r="AD100" s="362"/>
      <c r="AE100" s="362"/>
      <c r="AF100" s="362"/>
      <c r="AG100" s="358" t="e">
        <f>AG97/AG98</f>
        <v>#DIV/0!</v>
      </c>
      <c r="AH100" s="358"/>
      <c r="AI100" s="362"/>
      <c r="AJ100" s="362"/>
      <c r="AK100" s="362"/>
      <c r="AL100" s="358" t="e">
        <f>AL97/AL98</f>
        <v>#DIV/0!</v>
      </c>
      <c r="AM100" s="358"/>
      <c r="AN100" s="362"/>
      <c r="AO100" s="362"/>
      <c r="AP100" s="362"/>
      <c r="AQ100" s="359" t="e">
        <f>AQ97/AQ98</f>
        <v>#DIV/0!</v>
      </c>
      <c r="AR100" s="20"/>
      <c r="AS100" s="20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</row>
    <row r="101" spans="5:62" s="21" customFormat="1" ht="22.5" hidden="1" customHeight="1" outlineLevel="3" x14ac:dyDescent="0.3">
      <c r="E101" s="352"/>
      <c r="F101" s="407" t="s">
        <v>112</v>
      </c>
      <c r="G101" s="408"/>
      <c r="H101" s="360"/>
      <c r="I101" s="358"/>
      <c r="J101" s="358"/>
      <c r="K101" s="358"/>
      <c r="L101" s="359">
        <f t="shared" si="46"/>
        <v>0</v>
      </c>
      <c r="M101" s="365"/>
      <c r="N101" s="358"/>
      <c r="O101" s="359"/>
      <c r="P101" s="360"/>
      <c r="Q101" s="359"/>
      <c r="R101" s="360"/>
      <c r="S101" s="361"/>
      <c r="T101" s="362"/>
      <c r="U101" s="362"/>
      <c r="V101" s="362"/>
      <c r="W101" s="366"/>
      <c r="X101" s="361"/>
      <c r="Y101" s="362"/>
      <c r="Z101" s="362"/>
      <c r="AA101" s="362"/>
      <c r="AB101" s="358"/>
      <c r="AC101" s="358"/>
      <c r="AD101" s="362"/>
      <c r="AE101" s="362"/>
      <c r="AF101" s="362"/>
      <c r="AG101" s="358"/>
      <c r="AH101" s="358"/>
      <c r="AI101" s="362"/>
      <c r="AJ101" s="362"/>
      <c r="AK101" s="362"/>
      <c r="AL101" s="358"/>
      <c r="AM101" s="358"/>
      <c r="AN101" s="362"/>
      <c r="AO101" s="362"/>
      <c r="AP101" s="362"/>
      <c r="AQ101" s="359"/>
      <c r="AR101" s="20"/>
      <c r="AS101" s="20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</row>
    <row r="102" spans="5:62" s="21" customFormat="1" ht="22.5" hidden="1" customHeight="1" outlineLevel="3" x14ac:dyDescent="0.3">
      <c r="E102" s="352"/>
      <c r="F102" s="407" t="s">
        <v>113</v>
      </c>
      <c r="G102" s="408" t="s">
        <v>114</v>
      </c>
      <c r="H102" s="360"/>
      <c r="I102" s="358"/>
      <c r="J102" s="358"/>
      <c r="K102" s="358"/>
      <c r="L102" s="359">
        <f t="shared" si="46"/>
        <v>0</v>
      </c>
      <c r="M102" s="365"/>
      <c r="N102" s="358"/>
      <c r="O102" s="359"/>
      <c r="P102" s="360"/>
      <c r="Q102" s="359"/>
      <c r="R102" s="360"/>
      <c r="S102" s="361"/>
      <c r="T102" s="362"/>
      <c r="U102" s="362"/>
      <c r="V102" s="362"/>
      <c r="W102" s="366"/>
      <c r="X102" s="361"/>
      <c r="Y102" s="362"/>
      <c r="Z102" s="362"/>
      <c r="AA102" s="362"/>
      <c r="AB102" s="358"/>
      <c r="AC102" s="358"/>
      <c r="AD102" s="362"/>
      <c r="AE102" s="362"/>
      <c r="AF102" s="362"/>
      <c r="AG102" s="358"/>
      <c r="AH102" s="358"/>
      <c r="AI102" s="362"/>
      <c r="AJ102" s="362"/>
      <c r="AK102" s="362"/>
      <c r="AL102" s="358"/>
      <c r="AM102" s="358"/>
      <c r="AN102" s="362"/>
      <c r="AO102" s="362"/>
      <c r="AP102" s="362"/>
      <c r="AQ102" s="359"/>
      <c r="AR102" s="20"/>
      <c r="AS102" s="20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</row>
    <row r="103" spans="5:62" s="21" customFormat="1" ht="22.5" hidden="1" customHeight="1" outlineLevel="3" x14ac:dyDescent="0.3">
      <c r="E103" s="352"/>
      <c r="F103" s="407" t="s">
        <v>115</v>
      </c>
      <c r="G103" s="408" t="s">
        <v>111</v>
      </c>
      <c r="H103" s="360"/>
      <c r="I103" s="358"/>
      <c r="J103" s="358"/>
      <c r="K103" s="358"/>
      <c r="L103" s="359">
        <f t="shared" si="46"/>
        <v>0</v>
      </c>
      <c r="M103" s="365"/>
      <c r="N103" s="358"/>
      <c r="O103" s="359"/>
      <c r="P103" s="360"/>
      <c r="Q103" s="359"/>
      <c r="R103" s="360"/>
      <c r="S103" s="361"/>
      <c r="T103" s="362"/>
      <c r="U103" s="362"/>
      <c r="V103" s="362"/>
      <c r="W103" s="366"/>
      <c r="X103" s="361"/>
      <c r="Y103" s="362"/>
      <c r="Z103" s="362"/>
      <c r="AA103" s="362"/>
      <c r="AB103" s="358"/>
      <c r="AC103" s="358"/>
      <c r="AD103" s="362"/>
      <c r="AE103" s="362"/>
      <c r="AF103" s="362"/>
      <c r="AG103" s="358"/>
      <c r="AH103" s="358"/>
      <c r="AI103" s="362"/>
      <c r="AJ103" s="362"/>
      <c r="AK103" s="362"/>
      <c r="AL103" s="358"/>
      <c r="AM103" s="358"/>
      <c r="AN103" s="362"/>
      <c r="AO103" s="362"/>
      <c r="AP103" s="362"/>
      <c r="AQ103" s="359"/>
      <c r="AR103" s="20"/>
      <c r="AS103" s="20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</row>
    <row r="104" spans="5:62" s="21" customFormat="1" ht="22.5" hidden="1" customHeight="1" outlineLevel="2" x14ac:dyDescent="0.3">
      <c r="E104" s="352"/>
      <c r="F104" s="405" t="s">
        <v>119</v>
      </c>
      <c r="G104" s="308" t="s">
        <v>106</v>
      </c>
      <c r="H104" s="360"/>
      <c r="I104" s="358"/>
      <c r="J104" s="358"/>
      <c r="K104" s="358">
        <f>J104/6*5</f>
        <v>0</v>
      </c>
      <c r="L104" s="359">
        <f t="shared" si="46"/>
        <v>0</v>
      </c>
      <c r="M104" s="365"/>
      <c r="N104" s="358"/>
      <c r="O104" s="359">
        <f>O107*O105</f>
        <v>0</v>
      </c>
      <c r="P104" s="360">
        <v>0</v>
      </c>
      <c r="Q104" s="359"/>
      <c r="R104" s="360"/>
      <c r="S104" s="361"/>
      <c r="T104" s="297">
        <f>T105*T107</f>
        <v>0</v>
      </c>
      <c r="U104" s="362">
        <f>U105*U107</f>
        <v>0</v>
      </c>
      <c r="V104" s="362">
        <f>(W104-T104)*2</f>
        <v>0</v>
      </c>
      <c r="W104" s="363">
        <f>W105*W107</f>
        <v>0</v>
      </c>
      <c r="X104" s="361"/>
      <c r="Y104" s="362"/>
      <c r="Z104" s="362"/>
      <c r="AA104" s="362"/>
      <c r="AB104" s="297">
        <f>W104*(1+$AB$186)</f>
        <v>0</v>
      </c>
      <c r="AC104" s="358"/>
      <c r="AD104" s="362"/>
      <c r="AE104" s="362"/>
      <c r="AF104" s="362"/>
      <c r="AG104" s="297">
        <f>AB104*(1+$AG$186)</f>
        <v>0</v>
      </c>
      <c r="AH104" s="358"/>
      <c r="AI104" s="362"/>
      <c r="AJ104" s="362"/>
      <c r="AK104" s="362"/>
      <c r="AL104" s="297">
        <f>AG104*(1+$AG$186)</f>
        <v>0</v>
      </c>
      <c r="AM104" s="358"/>
      <c r="AN104" s="362"/>
      <c r="AO104" s="362"/>
      <c r="AP104" s="362"/>
      <c r="AQ104" s="298">
        <f>AL104*(1+$AG$186)</f>
        <v>0</v>
      </c>
      <c r="AR104" s="20"/>
      <c r="AS104" s="20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</row>
    <row r="105" spans="5:62" s="21" customFormat="1" ht="22.5" hidden="1" customHeight="1" outlineLevel="3" x14ac:dyDescent="0.3">
      <c r="E105" s="352"/>
      <c r="F105" s="407" t="s">
        <v>107</v>
      </c>
      <c r="G105" s="408" t="s">
        <v>108</v>
      </c>
      <c r="H105" s="360"/>
      <c r="I105" s="358"/>
      <c r="J105" s="358"/>
      <c r="K105" s="358">
        <f>J105/6*5</f>
        <v>0</v>
      </c>
      <c r="L105" s="359">
        <f t="shared" si="46"/>
        <v>0</v>
      </c>
      <c r="M105" s="365"/>
      <c r="N105" s="358"/>
      <c r="O105" s="359">
        <f>$M$196*$O$17</f>
        <v>0</v>
      </c>
      <c r="P105" s="360">
        <v>0</v>
      </c>
      <c r="Q105" s="359"/>
      <c r="R105" s="360"/>
      <c r="S105" s="361"/>
      <c r="T105" s="358">
        <f>V105/2</f>
        <v>0</v>
      </c>
      <c r="U105" s="362">
        <f>V105/2</f>
        <v>0</v>
      </c>
      <c r="V105" s="362">
        <f>W105</f>
        <v>0</v>
      </c>
      <c r="W105" s="366">
        <v>0</v>
      </c>
      <c r="X105" s="361"/>
      <c r="Y105" s="362"/>
      <c r="Z105" s="362"/>
      <c r="AA105" s="362"/>
      <c r="AB105" s="358">
        <f>W105</f>
        <v>0</v>
      </c>
      <c r="AC105" s="358"/>
      <c r="AD105" s="362"/>
      <c r="AE105" s="362"/>
      <c r="AF105" s="362"/>
      <c r="AG105" s="358">
        <f>AB105</f>
        <v>0</v>
      </c>
      <c r="AH105" s="358"/>
      <c r="AI105" s="362"/>
      <c r="AJ105" s="362"/>
      <c r="AK105" s="362"/>
      <c r="AL105" s="358">
        <f>AG105</f>
        <v>0</v>
      </c>
      <c r="AM105" s="358"/>
      <c r="AN105" s="362"/>
      <c r="AO105" s="362"/>
      <c r="AP105" s="362"/>
      <c r="AQ105" s="359">
        <f>AL105</f>
        <v>0</v>
      </c>
      <c r="AR105" s="20"/>
      <c r="AS105" s="20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</row>
    <row r="106" spans="5:62" s="21" customFormat="1" ht="22.5" hidden="1" customHeight="1" outlineLevel="3" x14ac:dyDescent="0.3">
      <c r="E106" s="352"/>
      <c r="F106" s="407" t="s">
        <v>109</v>
      </c>
      <c r="G106" s="408" t="s">
        <v>108</v>
      </c>
      <c r="H106" s="360"/>
      <c r="I106" s="358"/>
      <c r="J106" s="358"/>
      <c r="K106" s="358">
        <f>I106</f>
        <v>0</v>
      </c>
      <c r="L106" s="359">
        <f t="shared" si="46"/>
        <v>0</v>
      </c>
      <c r="M106" s="365"/>
      <c r="N106" s="358"/>
      <c r="O106" s="359"/>
      <c r="P106" s="360"/>
      <c r="Q106" s="359"/>
      <c r="R106" s="360"/>
      <c r="S106" s="361"/>
      <c r="T106" s="358"/>
      <c r="U106" s="362"/>
      <c r="V106" s="362"/>
      <c r="W106" s="366"/>
      <c r="X106" s="361"/>
      <c r="Y106" s="362"/>
      <c r="Z106" s="362"/>
      <c r="AA106" s="362"/>
      <c r="AB106" s="358"/>
      <c r="AC106" s="358"/>
      <c r="AD106" s="362"/>
      <c r="AE106" s="362"/>
      <c r="AF106" s="362"/>
      <c r="AG106" s="358"/>
      <c r="AH106" s="358"/>
      <c r="AI106" s="362"/>
      <c r="AJ106" s="362"/>
      <c r="AK106" s="362"/>
      <c r="AL106" s="358"/>
      <c r="AM106" s="358"/>
      <c r="AN106" s="362"/>
      <c r="AO106" s="362"/>
      <c r="AP106" s="362"/>
      <c r="AQ106" s="359"/>
      <c r="AR106" s="20"/>
      <c r="AS106" s="20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</row>
    <row r="107" spans="5:62" s="21" customFormat="1" ht="22.5" hidden="1" customHeight="1" outlineLevel="3" x14ac:dyDescent="0.3">
      <c r="E107" s="352"/>
      <c r="F107" s="407" t="s">
        <v>110</v>
      </c>
      <c r="G107" s="408" t="s">
        <v>111</v>
      </c>
      <c r="H107" s="360"/>
      <c r="I107" s="358"/>
      <c r="J107" s="358"/>
      <c r="K107" s="358" t="e">
        <f>K104/K105</f>
        <v>#DIV/0!</v>
      </c>
      <c r="L107" s="359" t="e">
        <f>L104/L105</f>
        <v>#DIV/0!</v>
      </c>
      <c r="M107" s="360"/>
      <c r="N107" s="358"/>
      <c r="O107" s="370">
        <v>0</v>
      </c>
      <c r="P107" s="360">
        <v>0</v>
      </c>
      <c r="Q107" s="359"/>
      <c r="R107" s="360"/>
      <c r="S107" s="361"/>
      <c r="T107" s="358">
        <f>W107/(1+W185)</f>
        <v>0</v>
      </c>
      <c r="U107" s="362">
        <f>V107</f>
        <v>0</v>
      </c>
      <c r="V107" s="362">
        <v>0</v>
      </c>
      <c r="W107" s="366">
        <f>P107*(1+$W$187)</f>
        <v>0</v>
      </c>
      <c r="X107" s="361"/>
      <c r="Y107" s="362"/>
      <c r="Z107" s="362"/>
      <c r="AA107" s="362"/>
      <c r="AB107" s="358" t="e">
        <f>AB104/AB105</f>
        <v>#DIV/0!</v>
      </c>
      <c r="AC107" s="358"/>
      <c r="AD107" s="362"/>
      <c r="AE107" s="362"/>
      <c r="AF107" s="362"/>
      <c r="AG107" s="358" t="e">
        <f>AG104/AG105</f>
        <v>#DIV/0!</v>
      </c>
      <c r="AH107" s="358"/>
      <c r="AI107" s="362"/>
      <c r="AJ107" s="362"/>
      <c r="AK107" s="362"/>
      <c r="AL107" s="358" t="e">
        <f>AL104/AL105</f>
        <v>#DIV/0!</v>
      </c>
      <c r="AM107" s="358"/>
      <c r="AN107" s="362"/>
      <c r="AO107" s="362"/>
      <c r="AP107" s="362"/>
      <c r="AQ107" s="359" t="e">
        <f>AQ104/AQ105</f>
        <v>#DIV/0!</v>
      </c>
      <c r="AR107" s="20"/>
      <c r="AS107" s="20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</row>
    <row r="108" spans="5:62" s="21" customFormat="1" ht="22.5" hidden="1" customHeight="1" outlineLevel="3" x14ac:dyDescent="0.3">
      <c r="E108" s="352"/>
      <c r="F108" s="407" t="s">
        <v>112</v>
      </c>
      <c r="G108" s="408"/>
      <c r="H108" s="360"/>
      <c r="I108" s="358"/>
      <c r="J108" s="358"/>
      <c r="K108" s="358"/>
      <c r="L108" s="359">
        <f t="shared" si="46"/>
        <v>0</v>
      </c>
      <c r="M108" s="365"/>
      <c r="N108" s="358"/>
      <c r="O108" s="359"/>
      <c r="P108" s="360"/>
      <c r="Q108" s="359"/>
      <c r="R108" s="360"/>
      <c r="S108" s="361"/>
      <c r="T108" s="362"/>
      <c r="U108" s="362"/>
      <c r="V108" s="362"/>
      <c r="W108" s="366"/>
      <c r="X108" s="361"/>
      <c r="Y108" s="362"/>
      <c r="Z108" s="362"/>
      <c r="AA108" s="362"/>
      <c r="AB108" s="358"/>
      <c r="AC108" s="358"/>
      <c r="AD108" s="362"/>
      <c r="AE108" s="362"/>
      <c r="AF108" s="362"/>
      <c r="AG108" s="358"/>
      <c r="AH108" s="358"/>
      <c r="AI108" s="362"/>
      <c r="AJ108" s="362"/>
      <c r="AK108" s="362"/>
      <c r="AL108" s="358"/>
      <c r="AM108" s="358"/>
      <c r="AN108" s="362"/>
      <c r="AO108" s="362"/>
      <c r="AP108" s="362"/>
      <c r="AQ108" s="359"/>
      <c r="AR108" s="20"/>
      <c r="AS108" s="20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</row>
    <row r="109" spans="5:62" s="21" customFormat="1" ht="22.5" hidden="1" customHeight="1" outlineLevel="3" x14ac:dyDescent="0.3">
      <c r="E109" s="352"/>
      <c r="F109" s="407" t="s">
        <v>113</v>
      </c>
      <c r="G109" s="408" t="s">
        <v>114</v>
      </c>
      <c r="H109" s="360"/>
      <c r="I109" s="358"/>
      <c r="J109" s="358"/>
      <c r="K109" s="358"/>
      <c r="L109" s="359">
        <f t="shared" si="46"/>
        <v>0</v>
      </c>
      <c r="M109" s="365"/>
      <c r="N109" s="358"/>
      <c r="O109" s="359"/>
      <c r="P109" s="360"/>
      <c r="Q109" s="359"/>
      <c r="R109" s="360"/>
      <c r="S109" s="361"/>
      <c r="T109" s="362"/>
      <c r="U109" s="362"/>
      <c r="V109" s="362"/>
      <c r="W109" s="366"/>
      <c r="X109" s="361"/>
      <c r="Y109" s="362"/>
      <c r="Z109" s="362"/>
      <c r="AA109" s="362"/>
      <c r="AB109" s="358"/>
      <c r="AC109" s="358"/>
      <c r="AD109" s="362"/>
      <c r="AE109" s="362"/>
      <c r="AF109" s="362"/>
      <c r="AG109" s="358"/>
      <c r="AH109" s="358"/>
      <c r="AI109" s="362"/>
      <c r="AJ109" s="362"/>
      <c r="AK109" s="362"/>
      <c r="AL109" s="358"/>
      <c r="AM109" s="358"/>
      <c r="AN109" s="362"/>
      <c r="AO109" s="362"/>
      <c r="AP109" s="362"/>
      <c r="AQ109" s="359"/>
      <c r="AR109" s="20"/>
      <c r="AS109" s="20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</row>
    <row r="110" spans="5:62" s="21" customFormat="1" ht="22.5" hidden="1" customHeight="1" outlineLevel="3" x14ac:dyDescent="0.3">
      <c r="E110" s="352"/>
      <c r="F110" s="407" t="s">
        <v>115</v>
      </c>
      <c r="G110" s="408" t="s">
        <v>111</v>
      </c>
      <c r="H110" s="360"/>
      <c r="I110" s="358"/>
      <c r="J110" s="358"/>
      <c r="K110" s="358">
        <f>K111+K123+K131+K136+K138+K139+K140+K143+K146</f>
        <v>0</v>
      </c>
      <c r="L110" s="359">
        <f t="shared" si="46"/>
        <v>0</v>
      </c>
      <c r="M110" s="365"/>
      <c r="N110" s="358"/>
      <c r="O110" s="359"/>
      <c r="P110" s="360"/>
      <c r="Q110" s="359"/>
      <c r="R110" s="360"/>
      <c r="S110" s="361"/>
      <c r="T110" s="362"/>
      <c r="U110" s="362"/>
      <c r="V110" s="362"/>
      <c r="W110" s="366"/>
      <c r="X110" s="361"/>
      <c r="Y110" s="362"/>
      <c r="Z110" s="362"/>
      <c r="AA110" s="362"/>
      <c r="AB110" s="358"/>
      <c r="AC110" s="358"/>
      <c r="AD110" s="362"/>
      <c r="AE110" s="362"/>
      <c r="AF110" s="362"/>
      <c r="AG110" s="358"/>
      <c r="AH110" s="358"/>
      <c r="AI110" s="362"/>
      <c r="AJ110" s="362"/>
      <c r="AK110" s="362"/>
      <c r="AL110" s="358"/>
      <c r="AM110" s="358"/>
      <c r="AN110" s="362"/>
      <c r="AO110" s="362"/>
      <c r="AP110" s="362"/>
      <c r="AQ110" s="359"/>
      <c r="AR110" s="20"/>
      <c r="AS110" s="20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</row>
    <row r="111" spans="5:62" s="28" customFormat="1" ht="22.5" customHeight="1" x14ac:dyDescent="0.3">
      <c r="E111" s="394" t="s">
        <v>120</v>
      </c>
      <c r="F111" s="395" t="s">
        <v>121</v>
      </c>
      <c r="G111" s="396" t="s">
        <v>31</v>
      </c>
      <c r="H111" s="397">
        <v>3.9889228199893072</v>
      </c>
      <c r="I111" s="398"/>
      <c r="J111" s="398"/>
      <c r="K111" s="398">
        <f>K112+K124+K132+K137+K139+K140+K141+K144+K147</f>
        <v>0</v>
      </c>
      <c r="L111" s="399">
        <f t="shared" si="46"/>
        <v>0</v>
      </c>
      <c r="M111" s="400">
        <v>4.3068065000000004</v>
      </c>
      <c r="N111" s="398">
        <v>0</v>
      </c>
      <c r="O111" s="399">
        <f>O112+O124+O132+O137+O139+O140+O141+O144</f>
        <v>0</v>
      </c>
      <c r="P111" s="401">
        <v>0</v>
      </c>
      <c r="Q111" s="399"/>
      <c r="R111" s="403">
        <f>R112+R124+R132+R137+R139+R140+R141+R144+R147</f>
        <v>0.2</v>
      </c>
      <c r="S111" s="403">
        <f>S112+S124+S132+S137+S139+S140+S141+S144+S147</f>
        <v>10.739999999999998</v>
      </c>
      <c r="T111" s="403">
        <f t="shared" ref="T111:U111" si="47">T124</f>
        <v>1.9056229044351798</v>
      </c>
      <c r="U111" s="403">
        <f t="shared" si="47"/>
        <v>1.9056229044351798</v>
      </c>
      <c r="V111" s="403">
        <f>V124</f>
        <v>3.8112458088703596</v>
      </c>
      <c r="W111" s="403">
        <f t="shared" ref="W111:AQ111" si="48">W112+W124+W132+W137+W139+W140+W141+W144+W147</f>
        <v>3.8112458088703596</v>
      </c>
      <c r="X111" s="403">
        <f t="shared" si="48"/>
        <v>0</v>
      </c>
      <c r="Y111" s="403">
        <f t="shared" si="48"/>
        <v>0</v>
      </c>
      <c r="Z111" s="403">
        <f t="shared" si="48"/>
        <v>0</v>
      </c>
      <c r="AA111" s="403">
        <f t="shared" si="48"/>
        <v>0</v>
      </c>
      <c r="AB111" s="403">
        <f t="shared" si="48"/>
        <v>3.9750290101839649</v>
      </c>
      <c r="AC111" s="403">
        <f t="shared" si="48"/>
        <v>0</v>
      </c>
      <c r="AD111" s="403">
        <f t="shared" si="48"/>
        <v>0</v>
      </c>
      <c r="AE111" s="403">
        <f t="shared" si="48"/>
        <v>0</v>
      </c>
      <c r="AF111" s="403">
        <f t="shared" si="48"/>
        <v>0</v>
      </c>
      <c r="AG111" s="403">
        <f t="shared" si="48"/>
        <v>4.2097529500711248</v>
      </c>
      <c r="AH111" s="403">
        <f t="shared" si="48"/>
        <v>0</v>
      </c>
      <c r="AI111" s="403">
        <f t="shared" si="48"/>
        <v>0</v>
      </c>
      <c r="AJ111" s="403">
        <f t="shared" si="48"/>
        <v>0</v>
      </c>
      <c r="AK111" s="403">
        <f t="shared" si="48"/>
        <v>0</v>
      </c>
      <c r="AL111" s="403">
        <f t="shared" si="48"/>
        <v>4.3376330376982688</v>
      </c>
      <c r="AM111" s="403">
        <f t="shared" si="48"/>
        <v>0</v>
      </c>
      <c r="AN111" s="403">
        <f t="shared" si="48"/>
        <v>0</v>
      </c>
      <c r="AO111" s="403">
        <f t="shared" si="48"/>
        <v>0</v>
      </c>
      <c r="AP111" s="403">
        <f t="shared" si="48"/>
        <v>0</v>
      </c>
      <c r="AQ111" s="403">
        <f t="shared" si="48"/>
        <v>4.5798186564948127</v>
      </c>
      <c r="AR111" s="26"/>
      <c r="AS111" s="26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  <c r="BE111" s="27"/>
      <c r="BF111" s="27"/>
      <c r="BG111" s="27"/>
      <c r="BH111" s="27"/>
      <c r="BI111" s="27"/>
      <c r="BJ111" s="27"/>
    </row>
    <row r="112" spans="5:62" s="21" customFormat="1" ht="38.25" hidden="1" customHeight="1" outlineLevel="1" collapsed="1" x14ac:dyDescent="0.3">
      <c r="E112" s="352" t="s">
        <v>122</v>
      </c>
      <c r="F112" s="353" t="s">
        <v>123</v>
      </c>
      <c r="G112" s="354" t="s">
        <v>31</v>
      </c>
      <c r="H112" s="355">
        <v>0</v>
      </c>
      <c r="I112" s="358"/>
      <c r="J112" s="358"/>
      <c r="K112" s="358"/>
      <c r="L112" s="359"/>
      <c r="M112" s="365">
        <v>0</v>
      </c>
      <c r="N112" s="358"/>
      <c r="O112" s="359">
        <f t="shared" ref="O112" si="49">SUM(O113:O123)</f>
        <v>0</v>
      </c>
      <c r="P112" s="360">
        <v>0</v>
      </c>
      <c r="Q112" s="359"/>
      <c r="R112" s="360"/>
      <c r="S112" s="361"/>
      <c r="T112" s="362">
        <f t="shared" ref="T112:AQ112" si="50">SUM(T113:T123)</f>
        <v>0</v>
      </c>
      <c r="U112" s="362">
        <f t="shared" si="50"/>
        <v>0</v>
      </c>
      <c r="V112" s="362">
        <f t="shared" si="50"/>
        <v>0</v>
      </c>
      <c r="W112" s="359">
        <f t="shared" si="50"/>
        <v>0</v>
      </c>
      <c r="X112" s="361"/>
      <c r="Y112" s="362"/>
      <c r="Z112" s="362"/>
      <c r="AA112" s="362"/>
      <c r="AB112" s="358">
        <f t="shared" si="50"/>
        <v>0</v>
      </c>
      <c r="AC112" s="358"/>
      <c r="AD112" s="362"/>
      <c r="AE112" s="362"/>
      <c r="AF112" s="362"/>
      <c r="AG112" s="358">
        <f>SUM(AG113:AG123)</f>
        <v>0</v>
      </c>
      <c r="AH112" s="358"/>
      <c r="AI112" s="362"/>
      <c r="AJ112" s="362"/>
      <c r="AK112" s="362"/>
      <c r="AL112" s="358">
        <f t="shared" si="50"/>
        <v>0</v>
      </c>
      <c r="AM112" s="358"/>
      <c r="AN112" s="362"/>
      <c r="AO112" s="362"/>
      <c r="AP112" s="362"/>
      <c r="AQ112" s="359">
        <f t="shared" si="50"/>
        <v>0</v>
      </c>
      <c r="AR112" s="20"/>
      <c r="AS112" s="20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</row>
    <row r="113" spans="5:62" s="21" customFormat="1" ht="22.5" hidden="1" customHeight="1" outlineLevel="4" x14ac:dyDescent="0.3">
      <c r="E113" s="352" t="s">
        <v>124</v>
      </c>
      <c r="F113" s="387" t="s">
        <v>125</v>
      </c>
      <c r="G113" s="354" t="s">
        <v>31</v>
      </c>
      <c r="H113" s="355">
        <v>0</v>
      </c>
      <c r="I113" s="358"/>
      <c r="J113" s="358"/>
      <c r="K113" s="358"/>
      <c r="L113" s="359"/>
      <c r="M113" s="365">
        <v>0</v>
      </c>
      <c r="N113" s="358"/>
      <c r="O113" s="359">
        <v>0</v>
      </c>
      <c r="P113" s="360">
        <v>0</v>
      </c>
      <c r="Q113" s="359"/>
      <c r="R113" s="360"/>
      <c r="S113" s="361"/>
      <c r="T113" s="362">
        <f t="shared" ref="T113:T118" si="51">$P113/IF($P$22=0,$P$17,$P$22)*IF($T$22=0,$T$17,T$22)</f>
        <v>0</v>
      </c>
      <c r="U113" s="362">
        <f>$V113/IF($V$22=0,$V$18,$V$22)*IF($U$22=0,$U$18,U$22)</f>
        <v>0</v>
      </c>
      <c r="V113" s="362">
        <f>(W113-T113)*2</f>
        <v>0</v>
      </c>
      <c r="W113" s="298">
        <f t="shared" ref="W113:W123" si="52">R113</f>
        <v>0</v>
      </c>
      <c r="X113" s="361"/>
      <c r="Y113" s="362"/>
      <c r="Z113" s="362"/>
      <c r="AA113" s="362"/>
      <c r="AB113" s="297">
        <f>W113*1.04</f>
        <v>0</v>
      </c>
      <c r="AC113" s="358"/>
      <c r="AD113" s="362"/>
      <c r="AE113" s="362"/>
      <c r="AF113" s="362"/>
      <c r="AG113" s="297">
        <f>AB113*1.04</f>
        <v>0</v>
      </c>
      <c r="AH113" s="358"/>
      <c r="AI113" s="362"/>
      <c r="AJ113" s="362"/>
      <c r="AK113" s="362"/>
      <c r="AL113" s="297">
        <f>AG113*1.04</f>
        <v>0</v>
      </c>
      <c r="AM113" s="358"/>
      <c r="AN113" s="362"/>
      <c r="AO113" s="362"/>
      <c r="AP113" s="362"/>
      <c r="AQ113" s="298">
        <f>AL113*1.04</f>
        <v>0</v>
      </c>
      <c r="AR113" s="20"/>
      <c r="AS113" s="20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</row>
    <row r="114" spans="5:62" s="21" customFormat="1" ht="22.5" hidden="1" customHeight="1" outlineLevel="4" x14ac:dyDescent="0.3">
      <c r="E114" s="352" t="s">
        <v>126</v>
      </c>
      <c r="F114" s="387" t="s">
        <v>127</v>
      </c>
      <c r="G114" s="354" t="s">
        <v>31</v>
      </c>
      <c r="H114" s="355">
        <v>0</v>
      </c>
      <c r="I114" s="358"/>
      <c r="J114" s="358"/>
      <c r="K114" s="358"/>
      <c r="L114" s="359"/>
      <c r="M114" s="365">
        <v>0</v>
      </c>
      <c r="N114" s="358"/>
      <c r="O114" s="359">
        <v>0</v>
      </c>
      <c r="P114" s="360">
        <v>0</v>
      </c>
      <c r="Q114" s="359"/>
      <c r="R114" s="360"/>
      <c r="S114" s="361"/>
      <c r="T114" s="362">
        <f t="shared" si="51"/>
        <v>0</v>
      </c>
      <c r="U114" s="362">
        <f>$V114/IF($V$22=0,$V$18,$V$22)*IF($U$22=0,$U$18,U$22)</f>
        <v>0</v>
      </c>
      <c r="V114" s="362">
        <f t="shared" ref="V114:V123" si="53">(W114-T114)*2</f>
        <v>0</v>
      </c>
      <c r="W114" s="298">
        <f t="shared" si="52"/>
        <v>0</v>
      </c>
      <c r="X114" s="361"/>
      <c r="Y114" s="362"/>
      <c r="Z114" s="362"/>
      <c r="AA114" s="362"/>
      <c r="AB114" s="297">
        <f>W114*1.04</f>
        <v>0</v>
      </c>
      <c r="AC114" s="358"/>
      <c r="AD114" s="362"/>
      <c r="AE114" s="362"/>
      <c r="AF114" s="362"/>
      <c r="AG114" s="297">
        <f>AB114*1.04</f>
        <v>0</v>
      </c>
      <c r="AH114" s="358"/>
      <c r="AI114" s="362"/>
      <c r="AJ114" s="362"/>
      <c r="AK114" s="362"/>
      <c r="AL114" s="297">
        <f>AG114*1.04</f>
        <v>0</v>
      </c>
      <c r="AM114" s="358"/>
      <c r="AN114" s="362"/>
      <c r="AO114" s="362"/>
      <c r="AP114" s="362"/>
      <c r="AQ114" s="298">
        <f>AL114*1.04</f>
        <v>0</v>
      </c>
      <c r="AR114" s="20"/>
      <c r="AS114" s="20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</row>
    <row r="115" spans="5:62" s="21" customFormat="1" ht="22.5" hidden="1" customHeight="1" outlineLevel="4" x14ac:dyDescent="0.3">
      <c r="E115" s="352" t="s">
        <v>128</v>
      </c>
      <c r="F115" s="387" t="s">
        <v>129</v>
      </c>
      <c r="G115" s="354" t="s">
        <v>31</v>
      </c>
      <c r="H115" s="355">
        <v>0</v>
      </c>
      <c r="I115" s="358"/>
      <c r="J115" s="358"/>
      <c r="K115" s="358"/>
      <c r="L115" s="359"/>
      <c r="M115" s="365">
        <v>0</v>
      </c>
      <c r="N115" s="358"/>
      <c r="O115" s="359">
        <v>0</v>
      </c>
      <c r="P115" s="360">
        <v>0</v>
      </c>
      <c r="Q115" s="359"/>
      <c r="R115" s="360"/>
      <c r="S115" s="361"/>
      <c r="T115" s="362">
        <f t="shared" si="51"/>
        <v>0</v>
      </c>
      <c r="U115" s="358">
        <f>$V115/IF($V$22=0,$V$18,$V$22)*IF($U$22=0,$U$18,U$22)</f>
        <v>0</v>
      </c>
      <c r="V115" s="358">
        <f t="shared" si="53"/>
        <v>0</v>
      </c>
      <c r="W115" s="298">
        <f t="shared" si="52"/>
        <v>0</v>
      </c>
      <c r="X115" s="361"/>
      <c r="Y115" s="358"/>
      <c r="Z115" s="362"/>
      <c r="AA115" s="362"/>
      <c r="AB115" s="297">
        <f>W115*1.04</f>
        <v>0</v>
      </c>
      <c r="AC115" s="358"/>
      <c r="AD115" s="362"/>
      <c r="AE115" s="362"/>
      <c r="AF115" s="362"/>
      <c r="AG115" s="297">
        <f>AB115*1.04</f>
        <v>0</v>
      </c>
      <c r="AH115" s="358"/>
      <c r="AI115" s="362"/>
      <c r="AJ115" s="362"/>
      <c r="AK115" s="362"/>
      <c r="AL115" s="297">
        <f>AG115*1.04</f>
        <v>0</v>
      </c>
      <c r="AM115" s="358"/>
      <c r="AN115" s="362"/>
      <c r="AO115" s="362"/>
      <c r="AP115" s="362"/>
      <c r="AQ115" s="298">
        <f>AL115*1.04</f>
        <v>0</v>
      </c>
      <c r="AR115" s="20"/>
      <c r="AS115" s="20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</row>
    <row r="116" spans="5:62" s="21" customFormat="1" ht="22.5" hidden="1" customHeight="1" outlineLevel="4" x14ac:dyDescent="0.3">
      <c r="E116" s="352" t="s">
        <v>130</v>
      </c>
      <c r="F116" s="387" t="s">
        <v>131</v>
      </c>
      <c r="G116" s="354" t="s">
        <v>31</v>
      </c>
      <c r="H116" s="355">
        <v>0</v>
      </c>
      <c r="I116" s="358"/>
      <c r="J116" s="358"/>
      <c r="K116" s="358"/>
      <c r="L116" s="359"/>
      <c r="M116" s="365">
        <v>0</v>
      </c>
      <c r="N116" s="358"/>
      <c r="O116" s="359">
        <v>0</v>
      </c>
      <c r="P116" s="360">
        <v>0</v>
      </c>
      <c r="Q116" s="359"/>
      <c r="R116" s="360"/>
      <c r="S116" s="361"/>
      <c r="T116" s="362">
        <f t="shared" si="51"/>
        <v>0</v>
      </c>
      <c r="U116" s="362">
        <f>$V116/IF($V$22=0,$V$18,$V$22)*IF($U$22=0,$U$18,U$22)</f>
        <v>0</v>
      </c>
      <c r="V116" s="362">
        <f t="shared" si="53"/>
        <v>0</v>
      </c>
      <c r="W116" s="298">
        <f t="shared" si="52"/>
        <v>0</v>
      </c>
      <c r="X116" s="361"/>
      <c r="Y116" s="362"/>
      <c r="Z116" s="362"/>
      <c r="AA116" s="362"/>
      <c r="AB116" s="297">
        <f t="shared" ref="AB116:AB123" si="54">W116*1.04</f>
        <v>0</v>
      </c>
      <c r="AC116" s="358"/>
      <c r="AD116" s="362"/>
      <c r="AE116" s="362"/>
      <c r="AF116" s="362"/>
      <c r="AG116" s="297">
        <f t="shared" ref="AG116:AG123" si="55">AB116*1.04</f>
        <v>0</v>
      </c>
      <c r="AH116" s="358"/>
      <c r="AI116" s="362"/>
      <c r="AJ116" s="362"/>
      <c r="AK116" s="362"/>
      <c r="AL116" s="297">
        <f t="shared" ref="AL116:AL123" si="56">AG116*1.04</f>
        <v>0</v>
      </c>
      <c r="AM116" s="358"/>
      <c r="AN116" s="362"/>
      <c r="AO116" s="362"/>
      <c r="AP116" s="362"/>
      <c r="AQ116" s="298">
        <f t="shared" ref="AQ116:AQ123" si="57">AL116*1.04</f>
        <v>0</v>
      </c>
      <c r="AR116" s="20"/>
      <c r="AS116" s="20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</row>
    <row r="117" spans="5:62" s="21" customFormat="1" ht="22.5" hidden="1" customHeight="1" outlineLevel="4" x14ac:dyDescent="0.3">
      <c r="E117" s="352" t="s">
        <v>132</v>
      </c>
      <c r="F117" s="387" t="s">
        <v>133</v>
      </c>
      <c r="G117" s="354" t="s">
        <v>31</v>
      </c>
      <c r="H117" s="355">
        <v>0</v>
      </c>
      <c r="I117" s="293"/>
      <c r="J117" s="293"/>
      <c r="K117" s="293"/>
      <c r="L117" s="359"/>
      <c r="M117" s="292">
        <v>0</v>
      </c>
      <c r="N117" s="293"/>
      <c r="O117" s="309">
        <v>0</v>
      </c>
      <c r="P117" s="292">
        <v>0</v>
      </c>
      <c r="Q117" s="309"/>
      <c r="R117" s="292"/>
      <c r="S117" s="384"/>
      <c r="T117" s="362">
        <f t="shared" si="51"/>
        <v>0</v>
      </c>
      <c r="U117" s="362">
        <f t="shared" ref="U117:U123" si="58">$V117/IF($V$22=0,$V$18,$V$22)*IF($U$22=0,$U$18,U$22)</f>
        <v>0</v>
      </c>
      <c r="V117" s="362">
        <f t="shared" si="53"/>
        <v>0</v>
      </c>
      <c r="W117" s="298">
        <f t="shared" si="52"/>
        <v>0</v>
      </c>
      <c r="X117" s="361"/>
      <c r="Y117" s="362"/>
      <c r="Z117" s="362"/>
      <c r="AA117" s="362"/>
      <c r="AB117" s="297">
        <f t="shared" si="54"/>
        <v>0</v>
      </c>
      <c r="AC117" s="358"/>
      <c r="AD117" s="362"/>
      <c r="AE117" s="362"/>
      <c r="AF117" s="362"/>
      <c r="AG117" s="297">
        <f t="shared" si="55"/>
        <v>0</v>
      </c>
      <c r="AH117" s="358"/>
      <c r="AI117" s="362"/>
      <c r="AJ117" s="362"/>
      <c r="AK117" s="362"/>
      <c r="AL117" s="297">
        <f t="shared" si="56"/>
        <v>0</v>
      </c>
      <c r="AM117" s="358"/>
      <c r="AN117" s="362"/>
      <c r="AO117" s="362"/>
      <c r="AP117" s="362"/>
      <c r="AQ117" s="298">
        <f t="shared" si="57"/>
        <v>0</v>
      </c>
      <c r="AR117" s="20"/>
      <c r="AS117" s="20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</row>
    <row r="118" spans="5:62" s="21" customFormat="1" ht="22.5" hidden="1" customHeight="1" outlineLevel="4" x14ac:dyDescent="0.3">
      <c r="E118" s="352" t="s">
        <v>134</v>
      </c>
      <c r="F118" s="387" t="s">
        <v>135</v>
      </c>
      <c r="G118" s="354" t="s">
        <v>31</v>
      </c>
      <c r="H118" s="355">
        <v>0</v>
      </c>
      <c r="I118" s="293"/>
      <c r="J118" s="293"/>
      <c r="K118" s="293"/>
      <c r="L118" s="359"/>
      <c r="M118" s="292">
        <v>0</v>
      </c>
      <c r="N118" s="293"/>
      <c r="O118" s="309">
        <v>0</v>
      </c>
      <c r="P118" s="292">
        <v>0</v>
      </c>
      <c r="Q118" s="309"/>
      <c r="R118" s="292"/>
      <c r="S118" s="384"/>
      <c r="T118" s="362">
        <f t="shared" si="51"/>
        <v>0</v>
      </c>
      <c r="U118" s="362">
        <f t="shared" si="58"/>
        <v>0</v>
      </c>
      <c r="V118" s="362">
        <f t="shared" si="53"/>
        <v>0</v>
      </c>
      <c r="W118" s="298">
        <f t="shared" si="52"/>
        <v>0</v>
      </c>
      <c r="X118" s="361"/>
      <c r="Y118" s="362"/>
      <c r="Z118" s="362"/>
      <c r="AA118" s="362"/>
      <c r="AB118" s="297">
        <f t="shared" si="54"/>
        <v>0</v>
      </c>
      <c r="AC118" s="358"/>
      <c r="AD118" s="362"/>
      <c r="AE118" s="362"/>
      <c r="AF118" s="362"/>
      <c r="AG118" s="297">
        <f t="shared" si="55"/>
        <v>0</v>
      </c>
      <c r="AH118" s="358"/>
      <c r="AI118" s="362"/>
      <c r="AJ118" s="362"/>
      <c r="AK118" s="362"/>
      <c r="AL118" s="297">
        <f t="shared" si="56"/>
        <v>0</v>
      </c>
      <c r="AM118" s="358"/>
      <c r="AN118" s="362"/>
      <c r="AO118" s="362"/>
      <c r="AP118" s="362"/>
      <c r="AQ118" s="298">
        <f t="shared" si="57"/>
        <v>0</v>
      </c>
      <c r="AR118" s="20"/>
      <c r="AS118" s="20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</row>
    <row r="119" spans="5:62" s="21" customFormat="1" ht="22.5" hidden="1" customHeight="1" outlineLevel="4" x14ac:dyDescent="0.3">
      <c r="E119" s="352" t="s">
        <v>136</v>
      </c>
      <c r="F119" s="387" t="s">
        <v>137</v>
      </c>
      <c r="G119" s="354" t="s">
        <v>31</v>
      </c>
      <c r="H119" s="355">
        <v>0</v>
      </c>
      <c r="I119" s="293"/>
      <c r="J119" s="293"/>
      <c r="K119" s="293"/>
      <c r="L119" s="359"/>
      <c r="M119" s="292">
        <v>0</v>
      </c>
      <c r="N119" s="293"/>
      <c r="O119" s="309">
        <v>0</v>
      </c>
      <c r="P119" s="292">
        <v>0</v>
      </c>
      <c r="Q119" s="309"/>
      <c r="R119" s="292"/>
      <c r="S119" s="384"/>
      <c r="T119" s="362">
        <f t="shared" ref="T119:T123" si="59">$P119/IF($P$22=0,$P$18,$P$22)*IF($T$22=0,$T$18,T$22)</f>
        <v>0</v>
      </c>
      <c r="U119" s="362">
        <f t="shared" si="58"/>
        <v>0</v>
      </c>
      <c r="V119" s="362">
        <f t="shared" si="53"/>
        <v>0</v>
      </c>
      <c r="W119" s="298">
        <f t="shared" si="52"/>
        <v>0</v>
      </c>
      <c r="X119" s="361"/>
      <c r="Y119" s="362"/>
      <c r="Z119" s="362"/>
      <c r="AA119" s="362"/>
      <c r="AB119" s="297">
        <f t="shared" si="54"/>
        <v>0</v>
      </c>
      <c r="AC119" s="358"/>
      <c r="AD119" s="362"/>
      <c r="AE119" s="362"/>
      <c r="AF119" s="362"/>
      <c r="AG119" s="297">
        <f t="shared" si="55"/>
        <v>0</v>
      </c>
      <c r="AH119" s="358"/>
      <c r="AI119" s="362"/>
      <c r="AJ119" s="362"/>
      <c r="AK119" s="362"/>
      <c r="AL119" s="297">
        <f t="shared" si="56"/>
        <v>0</v>
      </c>
      <c r="AM119" s="358"/>
      <c r="AN119" s="362"/>
      <c r="AO119" s="362"/>
      <c r="AP119" s="362"/>
      <c r="AQ119" s="298">
        <f t="shared" si="57"/>
        <v>0</v>
      </c>
      <c r="AR119" s="20"/>
      <c r="AS119" s="20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</row>
    <row r="120" spans="5:62" s="21" customFormat="1" ht="22.5" hidden="1" customHeight="1" outlineLevel="4" x14ac:dyDescent="0.3">
      <c r="E120" s="352" t="s">
        <v>138</v>
      </c>
      <c r="F120" s="387" t="s">
        <v>139</v>
      </c>
      <c r="G120" s="354" t="s">
        <v>31</v>
      </c>
      <c r="H120" s="355">
        <v>0</v>
      </c>
      <c r="I120" s="293"/>
      <c r="J120" s="293"/>
      <c r="K120" s="293"/>
      <c r="L120" s="359"/>
      <c r="M120" s="292">
        <v>0</v>
      </c>
      <c r="N120" s="293"/>
      <c r="O120" s="309">
        <v>0</v>
      </c>
      <c r="P120" s="292">
        <v>0</v>
      </c>
      <c r="Q120" s="309"/>
      <c r="R120" s="292"/>
      <c r="S120" s="384"/>
      <c r="T120" s="362">
        <f t="shared" si="59"/>
        <v>0</v>
      </c>
      <c r="U120" s="362">
        <f t="shared" si="58"/>
        <v>0</v>
      </c>
      <c r="V120" s="362">
        <f t="shared" si="53"/>
        <v>0</v>
      </c>
      <c r="W120" s="298">
        <f t="shared" si="52"/>
        <v>0</v>
      </c>
      <c r="X120" s="361"/>
      <c r="Y120" s="362"/>
      <c r="Z120" s="362"/>
      <c r="AA120" s="362"/>
      <c r="AB120" s="297">
        <f t="shared" si="54"/>
        <v>0</v>
      </c>
      <c r="AC120" s="358"/>
      <c r="AD120" s="362"/>
      <c r="AE120" s="362"/>
      <c r="AF120" s="362"/>
      <c r="AG120" s="297">
        <f t="shared" si="55"/>
        <v>0</v>
      </c>
      <c r="AH120" s="358"/>
      <c r="AI120" s="362"/>
      <c r="AJ120" s="362"/>
      <c r="AK120" s="362"/>
      <c r="AL120" s="297">
        <f t="shared" si="56"/>
        <v>0</v>
      </c>
      <c r="AM120" s="358"/>
      <c r="AN120" s="362"/>
      <c r="AO120" s="362"/>
      <c r="AP120" s="362"/>
      <c r="AQ120" s="298">
        <f t="shared" si="57"/>
        <v>0</v>
      </c>
      <c r="AR120" s="20"/>
      <c r="AS120" s="20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</row>
    <row r="121" spans="5:62" s="21" customFormat="1" ht="22.5" hidden="1" customHeight="1" outlineLevel="4" x14ac:dyDescent="0.3">
      <c r="E121" s="352" t="s">
        <v>140</v>
      </c>
      <c r="F121" s="387" t="s">
        <v>141</v>
      </c>
      <c r="G121" s="354" t="s">
        <v>31</v>
      </c>
      <c r="H121" s="355">
        <v>0</v>
      </c>
      <c r="I121" s="293"/>
      <c r="J121" s="293"/>
      <c r="K121" s="293"/>
      <c r="L121" s="359"/>
      <c r="M121" s="292">
        <v>0</v>
      </c>
      <c r="N121" s="293"/>
      <c r="O121" s="309">
        <v>0</v>
      </c>
      <c r="P121" s="292">
        <v>0</v>
      </c>
      <c r="Q121" s="309"/>
      <c r="R121" s="292"/>
      <c r="S121" s="384"/>
      <c r="T121" s="362">
        <f t="shared" si="59"/>
        <v>0</v>
      </c>
      <c r="U121" s="362">
        <f t="shared" si="58"/>
        <v>0</v>
      </c>
      <c r="V121" s="362">
        <f t="shared" si="53"/>
        <v>0</v>
      </c>
      <c r="W121" s="298">
        <f t="shared" si="52"/>
        <v>0</v>
      </c>
      <c r="X121" s="361"/>
      <c r="Y121" s="362"/>
      <c r="Z121" s="362"/>
      <c r="AA121" s="362"/>
      <c r="AB121" s="297">
        <f t="shared" si="54"/>
        <v>0</v>
      </c>
      <c r="AC121" s="358"/>
      <c r="AD121" s="362"/>
      <c r="AE121" s="362"/>
      <c r="AF121" s="362"/>
      <c r="AG121" s="297">
        <f t="shared" si="55"/>
        <v>0</v>
      </c>
      <c r="AH121" s="358"/>
      <c r="AI121" s="362"/>
      <c r="AJ121" s="362"/>
      <c r="AK121" s="362"/>
      <c r="AL121" s="297">
        <f t="shared" si="56"/>
        <v>0</v>
      </c>
      <c r="AM121" s="358"/>
      <c r="AN121" s="362"/>
      <c r="AO121" s="362"/>
      <c r="AP121" s="362"/>
      <c r="AQ121" s="298">
        <f t="shared" si="57"/>
        <v>0</v>
      </c>
      <c r="AR121" s="20"/>
      <c r="AS121" s="20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</row>
    <row r="122" spans="5:62" s="21" customFormat="1" ht="22.5" hidden="1" customHeight="1" outlineLevel="4" x14ac:dyDescent="0.3">
      <c r="E122" s="352" t="s">
        <v>142</v>
      </c>
      <c r="F122" s="387" t="s">
        <v>143</v>
      </c>
      <c r="G122" s="354" t="s">
        <v>31</v>
      </c>
      <c r="H122" s="355">
        <v>0</v>
      </c>
      <c r="I122" s="293"/>
      <c r="J122" s="293"/>
      <c r="K122" s="293"/>
      <c r="L122" s="359"/>
      <c r="M122" s="292">
        <v>0</v>
      </c>
      <c r="N122" s="293"/>
      <c r="O122" s="309">
        <v>0</v>
      </c>
      <c r="P122" s="292">
        <v>0</v>
      </c>
      <c r="Q122" s="309"/>
      <c r="R122" s="292"/>
      <c r="S122" s="384"/>
      <c r="T122" s="362">
        <f t="shared" si="59"/>
        <v>0</v>
      </c>
      <c r="U122" s="362">
        <f t="shared" si="58"/>
        <v>0</v>
      </c>
      <c r="V122" s="362">
        <f t="shared" si="53"/>
        <v>0</v>
      </c>
      <c r="W122" s="298">
        <f t="shared" si="52"/>
        <v>0</v>
      </c>
      <c r="X122" s="361"/>
      <c r="Y122" s="362"/>
      <c r="Z122" s="362"/>
      <c r="AA122" s="362"/>
      <c r="AB122" s="297">
        <f t="shared" si="54"/>
        <v>0</v>
      </c>
      <c r="AC122" s="358"/>
      <c r="AD122" s="362"/>
      <c r="AE122" s="362"/>
      <c r="AF122" s="362"/>
      <c r="AG122" s="297">
        <f t="shared" si="55"/>
        <v>0</v>
      </c>
      <c r="AH122" s="358"/>
      <c r="AI122" s="362"/>
      <c r="AJ122" s="362"/>
      <c r="AK122" s="362"/>
      <c r="AL122" s="297">
        <f t="shared" si="56"/>
        <v>0</v>
      </c>
      <c r="AM122" s="358"/>
      <c r="AN122" s="362"/>
      <c r="AO122" s="362"/>
      <c r="AP122" s="362"/>
      <c r="AQ122" s="298">
        <f t="shared" si="57"/>
        <v>0</v>
      </c>
      <c r="AR122" s="20"/>
      <c r="AS122" s="20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</row>
    <row r="123" spans="5:62" s="21" customFormat="1" ht="22.5" hidden="1" customHeight="1" outlineLevel="4" x14ac:dyDescent="0.3">
      <c r="E123" s="352" t="s">
        <v>144</v>
      </c>
      <c r="F123" s="387" t="s">
        <v>145</v>
      </c>
      <c r="G123" s="354" t="s">
        <v>31</v>
      </c>
      <c r="H123" s="355">
        <v>0</v>
      </c>
      <c r="I123" s="293"/>
      <c r="J123" s="293"/>
      <c r="K123" s="293"/>
      <c r="L123" s="359"/>
      <c r="M123" s="292">
        <v>0</v>
      </c>
      <c r="N123" s="293"/>
      <c r="O123" s="309">
        <v>0</v>
      </c>
      <c r="P123" s="292">
        <v>0</v>
      </c>
      <c r="Q123" s="309"/>
      <c r="R123" s="292"/>
      <c r="S123" s="384"/>
      <c r="T123" s="362">
        <f t="shared" si="59"/>
        <v>0</v>
      </c>
      <c r="U123" s="362">
        <f t="shared" si="58"/>
        <v>0</v>
      </c>
      <c r="V123" s="362">
        <f t="shared" si="53"/>
        <v>0</v>
      </c>
      <c r="W123" s="298">
        <f t="shared" si="52"/>
        <v>0</v>
      </c>
      <c r="X123" s="361"/>
      <c r="Y123" s="362"/>
      <c r="Z123" s="362"/>
      <c r="AA123" s="362"/>
      <c r="AB123" s="297">
        <f t="shared" si="54"/>
        <v>0</v>
      </c>
      <c r="AC123" s="358"/>
      <c r="AD123" s="362"/>
      <c r="AE123" s="362"/>
      <c r="AF123" s="362"/>
      <c r="AG123" s="297">
        <f t="shared" si="55"/>
        <v>0</v>
      </c>
      <c r="AH123" s="358"/>
      <c r="AI123" s="362"/>
      <c r="AJ123" s="362"/>
      <c r="AK123" s="362"/>
      <c r="AL123" s="297">
        <f t="shared" si="56"/>
        <v>0</v>
      </c>
      <c r="AM123" s="358"/>
      <c r="AN123" s="362"/>
      <c r="AO123" s="362"/>
      <c r="AP123" s="362"/>
      <c r="AQ123" s="298">
        <f t="shared" si="57"/>
        <v>0</v>
      </c>
      <c r="AR123" s="20"/>
      <c r="AS123" s="20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</row>
    <row r="124" spans="5:62" s="21" customFormat="1" ht="22.5" customHeight="1" outlineLevel="1" x14ac:dyDescent="0.3">
      <c r="E124" s="352" t="s">
        <v>146</v>
      </c>
      <c r="F124" s="353" t="s">
        <v>147</v>
      </c>
      <c r="G124" s="354" t="s">
        <v>31</v>
      </c>
      <c r="H124" s="355">
        <v>3.9889228199893072</v>
      </c>
      <c r="I124" s="358"/>
      <c r="J124" s="358"/>
      <c r="K124" s="358"/>
      <c r="L124" s="359"/>
      <c r="M124" s="365">
        <v>4.3068065000000004</v>
      </c>
      <c r="N124" s="358">
        <v>3.22</v>
      </c>
      <c r="O124" s="359">
        <f>SUM(O125:O131)</f>
        <v>0</v>
      </c>
      <c r="P124" s="360">
        <v>0</v>
      </c>
      <c r="Q124" s="359"/>
      <c r="R124" s="360">
        <v>0</v>
      </c>
      <c r="S124" s="361">
        <f>S125</f>
        <v>10.54</v>
      </c>
      <c r="T124" s="362">
        <f>SUM(T125:T131)</f>
        <v>1.9056229044351798</v>
      </c>
      <c r="U124" s="413">
        <f t="shared" ref="U124:AQ124" si="60">SUM(U125:U131)</f>
        <v>1.9056229044351798</v>
      </c>
      <c r="V124" s="413">
        <f t="shared" si="60"/>
        <v>3.8112458088703596</v>
      </c>
      <c r="W124" s="413">
        <f t="shared" si="60"/>
        <v>3.8112458088703596</v>
      </c>
      <c r="X124" s="413">
        <f t="shared" si="60"/>
        <v>0</v>
      </c>
      <c r="Y124" s="413">
        <f t="shared" si="60"/>
        <v>0</v>
      </c>
      <c r="Z124" s="413">
        <f t="shared" si="60"/>
        <v>0</v>
      </c>
      <c r="AA124" s="413">
        <f t="shared" si="60"/>
        <v>0</v>
      </c>
      <c r="AB124" s="413">
        <f t="shared" si="60"/>
        <v>3.9750290101839649</v>
      </c>
      <c r="AC124" s="413">
        <f t="shared" si="60"/>
        <v>0</v>
      </c>
      <c r="AD124" s="413">
        <f t="shared" si="60"/>
        <v>0</v>
      </c>
      <c r="AE124" s="413">
        <f t="shared" si="60"/>
        <v>0</v>
      </c>
      <c r="AF124" s="413">
        <f t="shared" si="60"/>
        <v>0</v>
      </c>
      <c r="AG124" s="413">
        <f t="shared" si="60"/>
        <v>4.2097529500711248</v>
      </c>
      <c r="AH124" s="413">
        <f t="shared" si="60"/>
        <v>0</v>
      </c>
      <c r="AI124" s="413">
        <f t="shared" si="60"/>
        <v>0</v>
      </c>
      <c r="AJ124" s="413">
        <f t="shared" si="60"/>
        <v>0</v>
      </c>
      <c r="AK124" s="413">
        <f t="shared" si="60"/>
        <v>0</v>
      </c>
      <c r="AL124" s="413">
        <f t="shared" si="60"/>
        <v>4.3376330376982688</v>
      </c>
      <c r="AM124" s="413">
        <f t="shared" si="60"/>
        <v>0</v>
      </c>
      <c r="AN124" s="413">
        <f t="shared" si="60"/>
        <v>0</v>
      </c>
      <c r="AO124" s="413">
        <f t="shared" si="60"/>
        <v>0</v>
      </c>
      <c r="AP124" s="413">
        <f t="shared" si="60"/>
        <v>0</v>
      </c>
      <c r="AQ124" s="413">
        <f t="shared" si="60"/>
        <v>4.5798186564948127</v>
      </c>
      <c r="AR124" s="20"/>
      <c r="AS124" s="20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</row>
    <row r="125" spans="5:62" s="21" customFormat="1" ht="22.5" customHeight="1" outlineLevel="2" x14ac:dyDescent="0.3">
      <c r="E125" s="306" t="s">
        <v>148</v>
      </c>
      <c r="F125" s="387" t="s">
        <v>396</v>
      </c>
      <c r="G125" s="354" t="s">
        <v>31</v>
      </c>
      <c r="H125" s="355">
        <v>0</v>
      </c>
      <c r="I125" s="358"/>
      <c r="J125" s="358"/>
      <c r="K125" s="358"/>
      <c r="L125" s="359"/>
      <c r="M125" s="365">
        <v>0</v>
      </c>
      <c r="N125" s="358">
        <v>0</v>
      </c>
      <c r="O125" s="370">
        <f>IF(M125=0,0,(O25+O74+O112+O126+O127+O128+O129+O130+O131+O132+O137+O139+O140+O141+O144+O147+O148+O150+O154)/0.99*0.01)</f>
        <v>0</v>
      </c>
      <c r="P125" s="360">
        <v>0</v>
      </c>
      <c r="Q125" s="359"/>
      <c r="R125" s="360">
        <v>0</v>
      </c>
      <c r="S125" s="361">
        <v>10.54</v>
      </c>
      <c r="T125" s="362">
        <f>W125/2</f>
        <v>1.9056229044351798</v>
      </c>
      <c r="U125" s="362">
        <f>$V125/IF($V$22=0,$V$18,$V$22)*IF($U$22=0,$U$18,U$22)</f>
        <v>1.9056229044351798</v>
      </c>
      <c r="V125" s="362">
        <f>(W125-T125)*2</f>
        <v>3.8112458088703596</v>
      </c>
      <c r="W125" s="362">
        <f>IF($S$125=0,0,(W25+W74+W112+W126+W127+W128+W129+W130+W131+W132+W137+W139+W140+W141+W144+W147+W148+W150+W154)/0.99*0.01)</f>
        <v>3.8112458088703596</v>
      </c>
      <c r="X125" s="414"/>
      <c r="Y125" s="362"/>
      <c r="Z125" s="362"/>
      <c r="AA125" s="362"/>
      <c r="AB125" s="362">
        <f t="shared" ref="AB125:AQ125" si="61">IF($S$125=0,0,(AB25+AB74+AB112+AB126+AB127+AB128+AB129+AB130+AB131+AB132+AB137+AB139+AB140+AB141+AB144+AB147+AB148+AB150+AB154)/0.99*0.01)</f>
        <v>3.9750290101839649</v>
      </c>
      <c r="AC125" s="362">
        <f t="shared" si="61"/>
        <v>0</v>
      </c>
      <c r="AD125" s="362">
        <f t="shared" si="61"/>
        <v>0</v>
      </c>
      <c r="AE125" s="362">
        <f t="shared" si="61"/>
        <v>0</v>
      </c>
      <c r="AF125" s="362">
        <f t="shared" si="61"/>
        <v>0</v>
      </c>
      <c r="AG125" s="362">
        <f t="shared" si="61"/>
        <v>4.2097529500711248</v>
      </c>
      <c r="AH125" s="362">
        <f t="shared" si="61"/>
        <v>0</v>
      </c>
      <c r="AI125" s="362">
        <f t="shared" si="61"/>
        <v>0</v>
      </c>
      <c r="AJ125" s="362">
        <f t="shared" si="61"/>
        <v>0</v>
      </c>
      <c r="AK125" s="362">
        <f t="shared" si="61"/>
        <v>0</v>
      </c>
      <c r="AL125" s="362">
        <f t="shared" si="61"/>
        <v>4.3376330376982688</v>
      </c>
      <c r="AM125" s="362">
        <f t="shared" si="61"/>
        <v>0</v>
      </c>
      <c r="AN125" s="362">
        <f t="shared" si="61"/>
        <v>0</v>
      </c>
      <c r="AO125" s="362">
        <f t="shared" si="61"/>
        <v>0</v>
      </c>
      <c r="AP125" s="362">
        <f t="shared" si="61"/>
        <v>0</v>
      </c>
      <c r="AQ125" s="362">
        <f t="shared" si="61"/>
        <v>4.5798186564948127</v>
      </c>
      <c r="AR125" s="29" t="s">
        <v>389</v>
      </c>
      <c r="AS125" s="30" t="s">
        <v>363</v>
      </c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</row>
    <row r="126" spans="5:62" s="21" customFormat="1" ht="22.5" hidden="1" customHeight="1" outlineLevel="2" x14ac:dyDescent="0.3">
      <c r="E126" s="306" t="s">
        <v>149</v>
      </c>
      <c r="F126" s="353" t="s">
        <v>150</v>
      </c>
      <c r="G126" s="354" t="s">
        <v>31</v>
      </c>
      <c r="H126" s="355">
        <v>0</v>
      </c>
      <c r="I126" s="358"/>
      <c r="J126" s="358"/>
      <c r="K126" s="358"/>
      <c r="L126" s="359"/>
      <c r="M126" s="365">
        <v>0</v>
      </c>
      <c r="N126" s="358">
        <v>0</v>
      </c>
      <c r="O126" s="359">
        <v>0</v>
      </c>
      <c r="P126" s="360">
        <v>0</v>
      </c>
      <c r="Q126" s="359"/>
      <c r="R126" s="360"/>
      <c r="S126" s="361"/>
      <c r="T126" s="362">
        <f t="shared" ref="T126:T131" si="62">$P126/IF($P$22=0,$P$17,$P$22)*IF($T$22=0,$T$17,T$22)</f>
        <v>0</v>
      </c>
      <c r="U126" s="362">
        <f t="shared" ref="U126:U131" si="63">$V126/IF($V$22=0,$V$18,$V$22)*IF($U$22=0,$U$18,U$22)</f>
        <v>0</v>
      </c>
      <c r="V126" s="362">
        <f t="shared" ref="V126:V131" si="64">(W126-T126)*2</f>
        <v>0</v>
      </c>
      <c r="W126" s="298">
        <f>R126</f>
        <v>0</v>
      </c>
      <c r="X126" s="361"/>
      <c r="Y126" s="362"/>
      <c r="Z126" s="362"/>
      <c r="AA126" s="362"/>
      <c r="AB126" s="297">
        <v>0</v>
      </c>
      <c r="AC126" s="358"/>
      <c r="AD126" s="362"/>
      <c r="AE126" s="362"/>
      <c r="AF126" s="362"/>
      <c r="AG126" s="297">
        <v>0</v>
      </c>
      <c r="AH126" s="358"/>
      <c r="AI126" s="362"/>
      <c r="AJ126" s="362"/>
      <c r="AK126" s="362"/>
      <c r="AL126" s="297">
        <v>0</v>
      </c>
      <c r="AM126" s="358"/>
      <c r="AN126" s="362"/>
      <c r="AO126" s="362"/>
      <c r="AP126" s="362"/>
      <c r="AQ126" s="298">
        <v>0</v>
      </c>
      <c r="AR126" s="20"/>
      <c r="AS126" s="20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</row>
    <row r="127" spans="5:62" s="21" customFormat="1" ht="22.5" hidden="1" customHeight="1" outlineLevel="2" x14ac:dyDescent="0.3">
      <c r="E127" s="306" t="s">
        <v>151</v>
      </c>
      <c r="F127" s="353" t="s">
        <v>152</v>
      </c>
      <c r="G127" s="354" t="s">
        <v>31</v>
      </c>
      <c r="H127" s="355">
        <v>0</v>
      </c>
      <c r="I127" s="358"/>
      <c r="J127" s="358"/>
      <c r="K127" s="358"/>
      <c r="L127" s="359"/>
      <c r="M127" s="365">
        <v>0</v>
      </c>
      <c r="N127" s="358">
        <v>0</v>
      </c>
      <c r="O127" s="359">
        <v>0</v>
      </c>
      <c r="P127" s="360">
        <v>0</v>
      </c>
      <c r="Q127" s="359"/>
      <c r="R127" s="360"/>
      <c r="S127" s="361"/>
      <c r="T127" s="362">
        <f t="shared" si="62"/>
        <v>0</v>
      </c>
      <c r="U127" s="362">
        <f t="shared" si="63"/>
        <v>0</v>
      </c>
      <c r="V127" s="362">
        <f t="shared" si="64"/>
        <v>0</v>
      </c>
      <c r="W127" s="298">
        <f>R127</f>
        <v>0</v>
      </c>
      <c r="X127" s="361"/>
      <c r="Y127" s="362"/>
      <c r="Z127" s="362"/>
      <c r="AA127" s="362"/>
      <c r="AB127" s="297">
        <v>0</v>
      </c>
      <c r="AC127" s="358"/>
      <c r="AD127" s="362"/>
      <c r="AE127" s="362"/>
      <c r="AF127" s="362"/>
      <c r="AG127" s="297">
        <v>0</v>
      </c>
      <c r="AH127" s="358"/>
      <c r="AI127" s="362"/>
      <c r="AJ127" s="362"/>
      <c r="AK127" s="362"/>
      <c r="AL127" s="297">
        <v>0</v>
      </c>
      <c r="AM127" s="358"/>
      <c r="AN127" s="362"/>
      <c r="AO127" s="362"/>
      <c r="AP127" s="362"/>
      <c r="AQ127" s="298">
        <v>0</v>
      </c>
      <c r="AR127" s="20"/>
      <c r="AS127" s="20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</row>
    <row r="128" spans="5:62" s="21" customFormat="1" ht="22.5" hidden="1" customHeight="1" outlineLevel="2" x14ac:dyDescent="0.3">
      <c r="E128" s="306" t="s">
        <v>153</v>
      </c>
      <c r="F128" s="353" t="s">
        <v>154</v>
      </c>
      <c r="G128" s="354" t="s">
        <v>31</v>
      </c>
      <c r="H128" s="355">
        <v>0</v>
      </c>
      <c r="I128" s="358"/>
      <c r="J128" s="358"/>
      <c r="K128" s="358"/>
      <c r="L128" s="359"/>
      <c r="M128" s="365">
        <v>0</v>
      </c>
      <c r="N128" s="358">
        <v>0</v>
      </c>
      <c r="O128" s="359">
        <f>N128</f>
        <v>0</v>
      </c>
      <c r="P128" s="360">
        <v>0</v>
      </c>
      <c r="Q128" s="359"/>
      <c r="R128" s="360"/>
      <c r="S128" s="361"/>
      <c r="T128" s="362">
        <f t="shared" si="62"/>
        <v>0</v>
      </c>
      <c r="U128" s="362">
        <f>$V128/IF($V$22=0,$V$18,$V$22)*IF($U$22=0,$U$18,U$22)</f>
        <v>0</v>
      </c>
      <c r="V128" s="362">
        <f>(W128-T128)*2</f>
        <v>0</v>
      </c>
      <c r="W128" s="370"/>
      <c r="X128" s="361"/>
      <c r="Y128" s="362"/>
      <c r="Z128" s="362"/>
      <c r="AA128" s="362"/>
      <c r="AB128" s="362"/>
      <c r="AC128" s="358"/>
      <c r="AD128" s="362"/>
      <c r="AE128" s="362"/>
      <c r="AF128" s="362"/>
      <c r="AG128" s="362"/>
      <c r="AH128" s="358"/>
      <c r="AI128" s="362"/>
      <c r="AJ128" s="362"/>
      <c r="AK128" s="362"/>
      <c r="AL128" s="362"/>
      <c r="AM128" s="358"/>
      <c r="AN128" s="362"/>
      <c r="AO128" s="362"/>
      <c r="AP128" s="362"/>
      <c r="AQ128" s="370"/>
      <c r="AR128" s="77" t="s">
        <v>395</v>
      </c>
      <c r="AS128" s="20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</row>
    <row r="129" spans="5:62" s="21" customFormat="1" ht="22.5" hidden="1" customHeight="1" outlineLevel="2" x14ac:dyDescent="0.3">
      <c r="E129" s="306" t="s">
        <v>155</v>
      </c>
      <c r="F129" s="387" t="s">
        <v>156</v>
      </c>
      <c r="G129" s="354" t="s">
        <v>31</v>
      </c>
      <c r="H129" s="355">
        <v>0</v>
      </c>
      <c r="I129" s="358"/>
      <c r="J129" s="358"/>
      <c r="K129" s="358"/>
      <c r="L129" s="359"/>
      <c r="M129" s="365">
        <v>0</v>
      </c>
      <c r="N129" s="358">
        <v>0</v>
      </c>
      <c r="O129" s="359">
        <v>0</v>
      </c>
      <c r="P129" s="360">
        <v>0</v>
      </c>
      <c r="Q129" s="359"/>
      <c r="R129" s="360"/>
      <c r="S129" s="361"/>
      <c r="T129" s="362">
        <f t="shared" si="62"/>
        <v>0</v>
      </c>
      <c r="U129" s="362">
        <f t="shared" si="63"/>
        <v>0</v>
      </c>
      <c r="V129" s="362">
        <f t="shared" si="64"/>
        <v>0</v>
      </c>
      <c r="W129" s="298">
        <f>R129</f>
        <v>0</v>
      </c>
      <c r="X129" s="361"/>
      <c r="Y129" s="362"/>
      <c r="Z129" s="362"/>
      <c r="AA129" s="362"/>
      <c r="AB129" s="297">
        <f>W129</f>
        <v>0</v>
      </c>
      <c r="AC129" s="358"/>
      <c r="AD129" s="362"/>
      <c r="AE129" s="362"/>
      <c r="AF129" s="362"/>
      <c r="AG129" s="297">
        <f>AB129</f>
        <v>0</v>
      </c>
      <c r="AH129" s="358"/>
      <c r="AI129" s="362"/>
      <c r="AJ129" s="362"/>
      <c r="AK129" s="362"/>
      <c r="AL129" s="297">
        <f>AG129</f>
        <v>0</v>
      </c>
      <c r="AM129" s="358"/>
      <c r="AN129" s="362"/>
      <c r="AO129" s="362"/>
      <c r="AP129" s="362"/>
      <c r="AQ129" s="298">
        <f>AL129</f>
        <v>0</v>
      </c>
      <c r="AR129" s="20"/>
      <c r="AS129" s="20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</row>
    <row r="130" spans="5:62" s="21" customFormat="1" ht="22.5" customHeight="1" outlineLevel="2" x14ac:dyDescent="0.3">
      <c r="E130" s="306" t="s">
        <v>157</v>
      </c>
      <c r="F130" s="387" t="s">
        <v>158</v>
      </c>
      <c r="G130" s="354" t="s">
        <v>31</v>
      </c>
      <c r="H130" s="355">
        <v>2.68065E-2</v>
      </c>
      <c r="I130" s="358"/>
      <c r="J130" s="358"/>
      <c r="K130" s="358"/>
      <c r="L130" s="359"/>
      <c r="M130" s="365">
        <v>2.68065E-2</v>
      </c>
      <c r="N130" s="358">
        <v>0</v>
      </c>
      <c r="O130" s="359">
        <v>0</v>
      </c>
      <c r="P130" s="360">
        <v>0</v>
      </c>
      <c r="Q130" s="359"/>
      <c r="R130" s="360">
        <v>0</v>
      </c>
      <c r="S130" s="361">
        <v>0</v>
      </c>
      <c r="T130" s="362">
        <f t="shared" si="62"/>
        <v>0</v>
      </c>
      <c r="U130" s="362">
        <f t="shared" si="63"/>
        <v>0</v>
      </c>
      <c r="V130" s="362">
        <f t="shared" si="64"/>
        <v>0</v>
      </c>
      <c r="W130" s="298">
        <f>R130</f>
        <v>0</v>
      </c>
      <c r="X130" s="361"/>
      <c r="Y130" s="362"/>
      <c r="Z130" s="362"/>
      <c r="AA130" s="362"/>
      <c r="AB130" s="297">
        <f>W130</f>
        <v>0</v>
      </c>
      <c r="AC130" s="358"/>
      <c r="AD130" s="362"/>
      <c r="AE130" s="362"/>
      <c r="AF130" s="362"/>
      <c r="AG130" s="297">
        <f>AB130</f>
        <v>0</v>
      </c>
      <c r="AH130" s="358"/>
      <c r="AI130" s="362"/>
      <c r="AJ130" s="362"/>
      <c r="AK130" s="362"/>
      <c r="AL130" s="297">
        <f>AG130</f>
        <v>0</v>
      </c>
      <c r="AM130" s="358"/>
      <c r="AN130" s="362"/>
      <c r="AO130" s="362"/>
      <c r="AP130" s="362"/>
      <c r="AQ130" s="298">
        <f>AL130</f>
        <v>0</v>
      </c>
      <c r="AR130" s="20"/>
      <c r="AS130" s="20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</row>
    <row r="131" spans="5:62" s="21" customFormat="1" ht="22.5" customHeight="1" outlineLevel="2" x14ac:dyDescent="0.3">
      <c r="E131" s="306" t="s">
        <v>159</v>
      </c>
      <c r="F131" s="353" t="s">
        <v>160</v>
      </c>
      <c r="G131" s="354" t="s">
        <v>31</v>
      </c>
      <c r="H131" s="355">
        <v>3.962116319989307</v>
      </c>
      <c r="I131" s="358"/>
      <c r="J131" s="358"/>
      <c r="K131" s="358"/>
      <c r="L131" s="359"/>
      <c r="M131" s="365">
        <v>4.28</v>
      </c>
      <c r="N131" s="358">
        <v>0</v>
      </c>
      <c r="O131" s="359">
        <v>0</v>
      </c>
      <c r="P131" s="360">
        <v>0</v>
      </c>
      <c r="Q131" s="359"/>
      <c r="R131" s="360">
        <v>0</v>
      </c>
      <c r="S131" s="361">
        <v>0</v>
      </c>
      <c r="T131" s="362">
        <f t="shared" si="62"/>
        <v>0</v>
      </c>
      <c r="U131" s="362">
        <f t="shared" si="63"/>
        <v>0</v>
      </c>
      <c r="V131" s="362">
        <f t="shared" si="64"/>
        <v>0</v>
      </c>
      <c r="W131" s="298">
        <f>R131</f>
        <v>0</v>
      </c>
      <c r="X131" s="361"/>
      <c r="Y131" s="362"/>
      <c r="Z131" s="362"/>
      <c r="AA131" s="362"/>
      <c r="AB131" s="297">
        <f>W131</f>
        <v>0</v>
      </c>
      <c r="AC131" s="358"/>
      <c r="AD131" s="362"/>
      <c r="AE131" s="362"/>
      <c r="AF131" s="362"/>
      <c r="AG131" s="297">
        <f>AB131</f>
        <v>0</v>
      </c>
      <c r="AH131" s="358"/>
      <c r="AI131" s="362"/>
      <c r="AJ131" s="362"/>
      <c r="AK131" s="362"/>
      <c r="AL131" s="297">
        <f>AG131</f>
        <v>0</v>
      </c>
      <c r="AM131" s="358"/>
      <c r="AN131" s="362"/>
      <c r="AO131" s="362"/>
      <c r="AP131" s="362"/>
      <c r="AQ131" s="298">
        <f>AL131</f>
        <v>0</v>
      </c>
      <c r="AR131" s="20"/>
      <c r="AS131" s="20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</row>
    <row r="132" spans="5:62" s="21" customFormat="1" ht="40.5" hidden="1" outlineLevel="1" collapsed="1" x14ac:dyDescent="0.3">
      <c r="E132" s="352" t="s">
        <v>161</v>
      </c>
      <c r="F132" s="353" t="s">
        <v>162</v>
      </c>
      <c r="G132" s="354" t="s">
        <v>31</v>
      </c>
      <c r="H132" s="355"/>
      <c r="I132" s="358"/>
      <c r="J132" s="358"/>
      <c r="K132" s="358"/>
      <c r="L132" s="359"/>
      <c r="M132" s="365"/>
      <c r="N132" s="358"/>
      <c r="O132" s="359">
        <f>SUM(O133:O136)</f>
        <v>0</v>
      </c>
      <c r="P132" s="360">
        <v>0</v>
      </c>
      <c r="Q132" s="359"/>
      <c r="R132" s="360"/>
      <c r="S132" s="361"/>
      <c r="T132" s="362">
        <f t="shared" ref="T132:AQ132" si="65">SUM(T133:T136)</f>
        <v>0</v>
      </c>
      <c r="U132" s="362">
        <f t="shared" si="65"/>
        <v>0</v>
      </c>
      <c r="V132" s="362">
        <f t="shared" si="65"/>
        <v>0</v>
      </c>
      <c r="W132" s="359">
        <f t="shared" si="65"/>
        <v>0</v>
      </c>
      <c r="X132" s="361"/>
      <c r="Y132" s="362"/>
      <c r="Z132" s="362"/>
      <c r="AA132" s="362"/>
      <c r="AB132" s="358">
        <f t="shared" si="65"/>
        <v>0</v>
      </c>
      <c r="AC132" s="358"/>
      <c r="AD132" s="362"/>
      <c r="AE132" s="362"/>
      <c r="AF132" s="362"/>
      <c r="AG132" s="358">
        <f>SUM(AG133:AG136)</f>
        <v>0</v>
      </c>
      <c r="AH132" s="358"/>
      <c r="AI132" s="362"/>
      <c r="AJ132" s="362"/>
      <c r="AK132" s="362"/>
      <c r="AL132" s="358">
        <f t="shared" si="65"/>
        <v>0</v>
      </c>
      <c r="AM132" s="358"/>
      <c r="AN132" s="362"/>
      <c r="AO132" s="362"/>
      <c r="AP132" s="362"/>
      <c r="AQ132" s="359">
        <f t="shared" si="65"/>
        <v>0</v>
      </c>
      <c r="AR132" s="20"/>
      <c r="AS132" s="20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</row>
    <row r="133" spans="5:62" s="21" customFormat="1" ht="22.5" hidden="1" customHeight="1" outlineLevel="2" x14ac:dyDescent="0.3">
      <c r="E133" s="306" t="s">
        <v>163</v>
      </c>
      <c r="F133" s="387" t="s">
        <v>164</v>
      </c>
      <c r="G133" s="354" t="s">
        <v>31</v>
      </c>
      <c r="H133" s="355"/>
      <c r="I133" s="358"/>
      <c r="J133" s="358"/>
      <c r="K133" s="358"/>
      <c r="L133" s="359"/>
      <c r="M133" s="365"/>
      <c r="N133" s="358"/>
      <c r="O133" s="359">
        <v>0</v>
      </c>
      <c r="P133" s="360">
        <v>0</v>
      </c>
      <c r="Q133" s="359"/>
      <c r="R133" s="360"/>
      <c r="S133" s="361"/>
      <c r="T133" s="362">
        <f>$P133/IF($P$22=0,$P$18,$P$22)*IF($T$22=0,$T$18,T$22)</f>
        <v>0</v>
      </c>
      <c r="U133" s="362">
        <f>$V133/IF($V$22=0,$V$18,$V$22)*IF($U$22=0,$U$18,U$22)</f>
        <v>0</v>
      </c>
      <c r="V133" s="362">
        <f>(W133-T133)*2</f>
        <v>0</v>
      </c>
      <c r="W133" s="298">
        <f>R133</f>
        <v>0</v>
      </c>
      <c r="X133" s="361"/>
      <c r="Y133" s="362"/>
      <c r="Z133" s="362"/>
      <c r="AA133" s="362"/>
      <c r="AB133" s="297">
        <f t="shared" ref="AB133:AB136" si="66">W133</f>
        <v>0</v>
      </c>
      <c r="AC133" s="358"/>
      <c r="AD133" s="362"/>
      <c r="AE133" s="362"/>
      <c r="AF133" s="362"/>
      <c r="AG133" s="297">
        <f t="shared" ref="AG133:AG136" si="67">AB133</f>
        <v>0</v>
      </c>
      <c r="AH133" s="358"/>
      <c r="AI133" s="362"/>
      <c r="AJ133" s="362"/>
      <c r="AK133" s="362"/>
      <c r="AL133" s="297">
        <f t="shared" ref="AL133:AL136" si="68">AG133</f>
        <v>0</v>
      </c>
      <c r="AM133" s="358"/>
      <c r="AN133" s="362"/>
      <c r="AO133" s="362"/>
      <c r="AP133" s="362"/>
      <c r="AQ133" s="298">
        <f>AL133</f>
        <v>0</v>
      </c>
      <c r="AR133" s="20"/>
      <c r="AS133" s="20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</row>
    <row r="134" spans="5:62" s="21" customFormat="1" ht="22.5" hidden="1" customHeight="1" outlineLevel="2" x14ac:dyDescent="0.3">
      <c r="E134" s="306" t="s">
        <v>165</v>
      </c>
      <c r="F134" s="387" t="s">
        <v>166</v>
      </c>
      <c r="G134" s="354" t="s">
        <v>31</v>
      </c>
      <c r="H134" s="355"/>
      <c r="I134" s="293"/>
      <c r="J134" s="293"/>
      <c r="K134" s="293"/>
      <c r="L134" s="359"/>
      <c r="M134" s="292"/>
      <c r="N134" s="293"/>
      <c r="O134" s="309">
        <v>0</v>
      </c>
      <c r="P134" s="292">
        <v>0</v>
      </c>
      <c r="Q134" s="309"/>
      <c r="R134" s="292"/>
      <c r="S134" s="384"/>
      <c r="T134" s="362">
        <f>$P134/IF($P$22=0,$P$18,$P$22)*IF($T$22=0,$T$18,T$22)</f>
        <v>0</v>
      </c>
      <c r="U134" s="362">
        <f>$V134/IF($V$22=0,$V$18,$V$22)*IF($U$22=0,$U$18,U$22)</f>
        <v>0</v>
      </c>
      <c r="V134" s="362">
        <f>(W134-T134)*2</f>
        <v>0</v>
      </c>
      <c r="W134" s="298">
        <f>R134</f>
        <v>0</v>
      </c>
      <c r="X134" s="361"/>
      <c r="Y134" s="362"/>
      <c r="Z134" s="362"/>
      <c r="AA134" s="362"/>
      <c r="AB134" s="297">
        <f t="shared" si="66"/>
        <v>0</v>
      </c>
      <c r="AC134" s="358"/>
      <c r="AD134" s="362"/>
      <c r="AE134" s="362"/>
      <c r="AF134" s="362"/>
      <c r="AG134" s="297">
        <f t="shared" si="67"/>
        <v>0</v>
      </c>
      <c r="AH134" s="358"/>
      <c r="AI134" s="362"/>
      <c r="AJ134" s="362"/>
      <c r="AK134" s="362"/>
      <c r="AL134" s="297">
        <f t="shared" si="68"/>
        <v>0</v>
      </c>
      <c r="AM134" s="358"/>
      <c r="AN134" s="362"/>
      <c r="AO134" s="362"/>
      <c r="AP134" s="362"/>
      <c r="AQ134" s="298">
        <f>AL134</f>
        <v>0</v>
      </c>
      <c r="AR134" s="20"/>
      <c r="AS134" s="20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</row>
    <row r="135" spans="5:62" s="21" customFormat="1" ht="22.5" hidden="1" customHeight="1" outlineLevel="2" x14ac:dyDescent="0.3">
      <c r="E135" s="306" t="s">
        <v>167</v>
      </c>
      <c r="F135" s="387" t="s">
        <v>168</v>
      </c>
      <c r="G135" s="354" t="s">
        <v>31</v>
      </c>
      <c r="H135" s="355"/>
      <c r="I135" s="358"/>
      <c r="J135" s="358"/>
      <c r="K135" s="358"/>
      <c r="L135" s="359"/>
      <c r="M135" s="365"/>
      <c r="N135" s="358"/>
      <c r="O135" s="359">
        <v>0</v>
      </c>
      <c r="P135" s="360">
        <v>0</v>
      </c>
      <c r="Q135" s="359"/>
      <c r="R135" s="360"/>
      <c r="S135" s="361"/>
      <c r="T135" s="362">
        <f>$P135/IF($P$22=0,$P$18,$P$22)*IF($T$22=0,$T$18,T$22)</f>
        <v>0</v>
      </c>
      <c r="U135" s="362">
        <f>$V135/IF($V$22=0,$V$18,$V$22)*IF($U$22=0,$U$18,U$22)</f>
        <v>0</v>
      </c>
      <c r="V135" s="362">
        <f>(W135-T135)*2</f>
        <v>0</v>
      </c>
      <c r="W135" s="298">
        <f>R135</f>
        <v>0</v>
      </c>
      <c r="X135" s="361"/>
      <c r="Y135" s="362"/>
      <c r="Z135" s="362"/>
      <c r="AA135" s="362"/>
      <c r="AB135" s="297">
        <f t="shared" si="66"/>
        <v>0</v>
      </c>
      <c r="AC135" s="358"/>
      <c r="AD135" s="362"/>
      <c r="AE135" s="362"/>
      <c r="AF135" s="362"/>
      <c r="AG135" s="297">
        <f t="shared" si="67"/>
        <v>0</v>
      </c>
      <c r="AH135" s="358"/>
      <c r="AI135" s="362"/>
      <c r="AJ135" s="362"/>
      <c r="AK135" s="362"/>
      <c r="AL135" s="297">
        <f t="shared" si="68"/>
        <v>0</v>
      </c>
      <c r="AM135" s="358"/>
      <c r="AN135" s="362"/>
      <c r="AO135" s="362"/>
      <c r="AP135" s="362"/>
      <c r="AQ135" s="298">
        <f>AL135</f>
        <v>0</v>
      </c>
      <c r="AR135" s="20"/>
      <c r="AS135" s="20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</row>
    <row r="136" spans="5:62" s="21" customFormat="1" ht="22.5" hidden="1" customHeight="1" outlineLevel="2" x14ac:dyDescent="0.3">
      <c r="E136" s="306" t="s">
        <v>169</v>
      </c>
      <c r="F136" s="387" t="s">
        <v>170</v>
      </c>
      <c r="G136" s="354" t="s">
        <v>31</v>
      </c>
      <c r="H136" s="355"/>
      <c r="I136" s="293"/>
      <c r="J136" s="293"/>
      <c r="K136" s="293"/>
      <c r="L136" s="359"/>
      <c r="M136" s="292"/>
      <c r="N136" s="293"/>
      <c r="O136" s="309">
        <v>0</v>
      </c>
      <c r="P136" s="292">
        <v>0</v>
      </c>
      <c r="Q136" s="309"/>
      <c r="R136" s="292"/>
      <c r="S136" s="384"/>
      <c r="T136" s="362">
        <f>$P136/IF($P$22=0,$P$18,$P$22)*IF($T$22=0,$T$18,T$22)</f>
        <v>0</v>
      </c>
      <c r="U136" s="362">
        <f>$V136/IF($V$22=0,$V$18,$V$22)*IF($U$22=0,$U$18,U$22)</f>
        <v>0</v>
      </c>
      <c r="V136" s="362">
        <f>(W136-T136)*2</f>
        <v>0</v>
      </c>
      <c r="W136" s="298">
        <f>R136</f>
        <v>0</v>
      </c>
      <c r="X136" s="361"/>
      <c r="Y136" s="362"/>
      <c r="Z136" s="362"/>
      <c r="AA136" s="362"/>
      <c r="AB136" s="297">
        <f t="shared" si="66"/>
        <v>0</v>
      </c>
      <c r="AC136" s="358"/>
      <c r="AD136" s="362"/>
      <c r="AE136" s="362"/>
      <c r="AF136" s="362"/>
      <c r="AG136" s="297">
        <f t="shared" si="67"/>
        <v>0</v>
      </c>
      <c r="AH136" s="358"/>
      <c r="AI136" s="362"/>
      <c r="AJ136" s="362"/>
      <c r="AK136" s="362"/>
      <c r="AL136" s="297">
        <f t="shared" si="68"/>
        <v>0</v>
      </c>
      <c r="AM136" s="358"/>
      <c r="AN136" s="362"/>
      <c r="AO136" s="362"/>
      <c r="AP136" s="362"/>
      <c r="AQ136" s="298">
        <f>AL136</f>
        <v>0</v>
      </c>
      <c r="AR136" s="20"/>
      <c r="AS136" s="20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</row>
    <row r="137" spans="5:62" s="21" customFormat="1" ht="38.25" hidden="1" customHeight="1" outlineLevel="1" collapsed="1" x14ac:dyDescent="0.3">
      <c r="E137" s="352" t="s">
        <v>171</v>
      </c>
      <c r="F137" s="353" t="s">
        <v>101</v>
      </c>
      <c r="G137" s="354" t="s">
        <v>31</v>
      </c>
      <c r="H137" s="355"/>
      <c r="I137" s="358"/>
      <c r="J137" s="358"/>
      <c r="K137" s="358"/>
      <c r="L137" s="359"/>
      <c r="M137" s="365"/>
      <c r="N137" s="358"/>
      <c r="O137" s="359">
        <v>0</v>
      </c>
      <c r="P137" s="360">
        <v>0</v>
      </c>
      <c r="Q137" s="359"/>
      <c r="R137" s="360"/>
      <c r="S137" s="361"/>
      <c r="T137" s="362">
        <f>T138</f>
        <v>0</v>
      </c>
      <c r="U137" s="362">
        <f t="shared" ref="U137:AQ137" si="69">U138</f>
        <v>0</v>
      </c>
      <c r="V137" s="362">
        <f t="shared" si="69"/>
        <v>0</v>
      </c>
      <c r="W137" s="359">
        <f t="shared" si="69"/>
        <v>0</v>
      </c>
      <c r="X137" s="361"/>
      <c r="Y137" s="362"/>
      <c r="Z137" s="362"/>
      <c r="AA137" s="362"/>
      <c r="AB137" s="358">
        <f t="shared" si="69"/>
        <v>0</v>
      </c>
      <c r="AC137" s="358"/>
      <c r="AD137" s="362"/>
      <c r="AE137" s="362"/>
      <c r="AF137" s="362"/>
      <c r="AG137" s="358">
        <f t="shared" si="69"/>
        <v>0</v>
      </c>
      <c r="AH137" s="358"/>
      <c r="AI137" s="362"/>
      <c r="AJ137" s="362"/>
      <c r="AK137" s="362"/>
      <c r="AL137" s="358">
        <f t="shared" si="69"/>
        <v>0</v>
      </c>
      <c r="AM137" s="358"/>
      <c r="AN137" s="362"/>
      <c r="AO137" s="362"/>
      <c r="AP137" s="362"/>
      <c r="AQ137" s="359">
        <f t="shared" si="69"/>
        <v>0</v>
      </c>
      <c r="AR137" s="20"/>
      <c r="AS137" s="20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</row>
    <row r="138" spans="5:62" s="21" customFormat="1" ht="22.5" hidden="1" customHeight="1" outlineLevel="2" x14ac:dyDescent="0.3">
      <c r="E138" s="306" t="s">
        <v>172</v>
      </c>
      <c r="F138" s="353" t="s">
        <v>173</v>
      </c>
      <c r="G138" s="354" t="s">
        <v>31</v>
      </c>
      <c r="H138" s="355"/>
      <c r="I138" s="293"/>
      <c r="J138" s="293"/>
      <c r="K138" s="293"/>
      <c r="L138" s="359"/>
      <c r="M138" s="292"/>
      <c r="N138" s="293"/>
      <c r="O138" s="309">
        <v>0</v>
      </c>
      <c r="P138" s="292">
        <v>0</v>
      </c>
      <c r="Q138" s="309"/>
      <c r="R138" s="292"/>
      <c r="S138" s="384"/>
      <c r="T138" s="362">
        <f>$P138/IF($P$22=0,$P$18,$P$22)*IF($T$22=0,$T$18,T$22)</f>
        <v>0</v>
      </c>
      <c r="U138" s="362">
        <f>$V138/IF($V$22=0,$V$18,$V$22)*IF($U$22=0,$U$18,U$22)</f>
        <v>0</v>
      </c>
      <c r="V138" s="362">
        <f>(W138-T138)*2</f>
        <v>0</v>
      </c>
      <c r="W138" s="298">
        <v>0</v>
      </c>
      <c r="X138" s="384"/>
      <c r="Y138" s="362"/>
      <c r="Z138" s="362"/>
      <c r="AA138" s="362"/>
      <c r="AB138" s="297">
        <f>W138</f>
        <v>0</v>
      </c>
      <c r="AC138" s="293"/>
      <c r="AD138" s="362"/>
      <c r="AE138" s="362"/>
      <c r="AF138" s="362"/>
      <c r="AG138" s="297">
        <f>AB138</f>
        <v>0</v>
      </c>
      <c r="AH138" s="293"/>
      <c r="AI138" s="362"/>
      <c r="AJ138" s="362"/>
      <c r="AK138" s="362"/>
      <c r="AL138" s="297">
        <f>AG138</f>
        <v>0</v>
      </c>
      <c r="AM138" s="293"/>
      <c r="AN138" s="362"/>
      <c r="AO138" s="362"/>
      <c r="AP138" s="362"/>
      <c r="AQ138" s="298">
        <f>AL138</f>
        <v>0</v>
      </c>
      <c r="AR138" s="20"/>
      <c r="AS138" s="20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</row>
    <row r="139" spans="5:62" s="21" customFormat="1" ht="22.5" hidden="1" customHeight="1" outlineLevel="1" x14ac:dyDescent="0.3">
      <c r="E139" s="306" t="s">
        <v>174</v>
      </c>
      <c r="F139" s="353" t="s">
        <v>175</v>
      </c>
      <c r="G139" s="354" t="s">
        <v>31</v>
      </c>
      <c r="H139" s="355"/>
      <c r="I139" s="293"/>
      <c r="J139" s="293"/>
      <c r="K139" s="293"/>
      <c r="L139" s="359"/>
      <c r="M139" s="292"/>
      <c r="N139" s="293"/>
      <c r="O139" s="309">
        <v>0</v>
      </c>
      <c r="P139" s="292">
        <v>0</v>
      </c>
      <c r="Q139" s="309"/>
      <c r="R139" s="292"/>
      <c r="S139" s="384"/>
      <c r="T139" s="362">
        <v>0</v>
      </c>
      <c r="U139" s="362">
        <f>$V139/IF($V$22=0,$V$18,$V$22)*IF($U$22=0,$U$18,U$22)</f>
        <v>0</v>
      </c>
      <c r="V139" s="362">
        <f>(W139-T139)*2</f>
        <v>0</v>
      </c>
      <c r="W139" s="298">
        <v>0</v>
      </c>
      <c r="X139" s="384"/>
      <c r="Y139" s="362"/>
      <c r="Z139" s="362"/>
      <c r="AA139" s="293"/>
      <c r="AB139" s="297">
        <f t="shared" ref="AB139:AB144" si="70">Y139+Z139</f>
        <v>0</v>
      </c>
      <c r="AC139" s="293"/>
      <c r="AD139" s="362"/>
      <c r="AE139" s="362"/>
      <c r="AF139" s="293"/>
      <c r="AG139" s="297">
        <f>AD139+AE139</f>
        <v>0</v>
      </c>
      <c r="AH139" s="293"/>
      <c r="AI139" s="362"/>
      <c r="AJ139" s="362"/>
      <c r="AK139" s="293"/>
      <c r="AL139" s="297">
        <f>AI139+AJ139</f>
        <v>0</v>
      </c>
      <c r="AM139" s="293"/>
      <c r="AN139" s="362"/>
      <c r="AO139" s="362"/>
      <c r="AP139" s="293"/>
      <c r="AQ139" s="298">
        <f>AN139+AO139</f>
        <v>0</v>
      </c>
      <c r="AR139" s="20"/>
      <c r="AS139" s="20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</row>
    <row r="140" spans="5:62" s="21" customFormat="1" ht="22.5" hidden="1" customHeight="1" outlineLevel="1" x14ac:dyDescent="0.3">
      <c r="E140" s="306" t="s">
        <v>176</v>
      </c>
      <c r="F140" s="353" t="s">
        <v>177</v>
      </c>
      <c r="G140" s="354" t="s">
        <v>31</v>
      </c>
      <c r="H140" s="355"/>
      <c r="I140" s="293"/>
      <c r="J140" s="293"/>
      <c r="K140" s="293"/>
      <c r="L140" s="359"/>
      <c r="M140" s="292"/>
      <c r="N140" s="293"/>
      <c r="O140" s="309">
        <v>0</v>
      </c>
      <c r="P140" s="292">
        <v>0</v>
      </c>
      <c r="Q140" s="309"/>
      <c r="R140" s="292"/>
      <c r="S140" s="384"/>
      <c r="T140" s="362">
        <f>$P140/IF($P$22=0,$P$17,$P$22)*IF($T$22=0,$T$17,T$22)</f>
        <v>0</v>
      </c>
      <c r="U140" s="362">
        <f>$V140/IF($V$22=0,$V$18,$V$22)*IF($U$22=0,$U$18,U$22)</f>
        <v>0</v>
      </c>
      <c r="V140" s="362">
        <f>(W140-T140)*2</f>
        <v>0</v>
      </c>
      <c r="W140" s="298">
        <v>0</v>
      </c>
      <c r="X140" s="361"/>
      <c r="Y140" s="362"/>
      <c r="Z140" s="362"/>
      <c r="AA140" s="362"/>
      <c r="AB140" s="297">
        <f>W140</f>
        <v>0</v>
      </c>
      <c r="AC140" s="358"/>
      <c r="AD140" s="362"/>
      <c r="AE140" s="362"/>
      <c r="AF140" s="362"/>
      <c r="AG140" s="297">
        <f>AB140</f>
        <v>0</v>
      </c>
      <c r="AH140" s="358"/>
      <c r="AI140" s="362"/>
      <c r="AJ140" s="362"/>
      <c r="AK140" s="362"/>
      <c r="AL140" s="297">
        <f>AG140</f>
        <v>0</v>
      </c>
      <c r="AM140" s="358"/>
      <c r="AN140" s="362"/>
      <c r="AO140" s="362"/>
      <c r="AP140" s="362"/>
      <c r="AQ140" s="298">
        <f>AL140</f>
        <v>0</v>
      </c>
      <c r="AR140" s="20"/>
      <c r="AS140" s="20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</row>
    <row r="141" spans="5:62" s="21" customFormat="1" ht="38.25" hidden="1" customHeight="1" outlineLevel="1" collapsed="1" x14ac:dyDescent="0.3">
      <c r="E141" s="306" t="s">
        <v>178</v>
      </c>
      <c r="F141" s="353" t="s">
        <v>179</v>
      </c>
      <c r="G141" s="354" t="s">
        <v>31</v>
      </c>
      <c r="H141" s="355"/>
      <c r="I141" s="358"/>
      <c r="J141" s="358"/>
      <c r="K141" s="358"/>
      <c r="L141" s="359"/>
      <c r="M141" s="292"/>
      <c r="N141" s="358"/>
      <c r="O141" s="359">
        <f>O142+O143</f>
        <v>0</v>
      </c>
      <c r="P141" s="360">
        <v>0</v>
      </c>
      <c r="Q141" s="359"/>
      <c r="R141" s="360"/>
      <c r="S141" s="361"/>
      <c r="T141" s="293">
        <f t="shared" ref="T141:W141" si="71">T142+T143</f>
        <v>0</v>
      </c>
      <c r="U141" s="293">
        <f t="shared" si="71"/>
        <v>0</v>
      </c>
      <c r="V141" s="362">
        <f t="shared" si="71"/>
        <v>0</v>
      </c>
      <c r="W141" s="298">
        <f t="shared" si="71"/>
        <v>0</v>
      </c>
      <c r="X141" s="361"/>
      <c r="Y141" s="293"/>
      <c r="Z141" s="293"/>
      <c r="AA141" s="293"/>
      <c r="AB141" s="297">
        <f t="shared" si="70"/>
        <v>0</v>
      </c>
      <c r="AC141" s="358"/>
      <c r="AD141" s="293"/>
      <c r="AE141" s="293"/>
      <c r="AF141" s="293"/>
      <c r="AG141" s="297">
        <f>AD141+AE141</f>
        <v>0</v>
      </c>
      <c r="AH141" s="358"/>
      <c r="AI141" s="293"/>
      <c r="AJ141" s="293"/>
      <c r="AK141" s="293"/>
      <c r="AL141" s="297">
        <f>AI141+AJ141</f>
        <v>0</v>
      </c>
      <c r="AM141" s="358"/>
      <c r="AN141" s="293"/>
      <c r="AO141" s="293"/>
      <c r="AP141" s="293"/>
      <c r="AQ141" s="298">
        <f>AN141+AO141</f>
        <v>0</v>
      </c>
      <c r="AR141" s="20"/>
      <c r="AS141" s="20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</row>
    <row r="142" spans="5:62" s="21" customFormat="1" ht="60.75" hidden="1" outlineLevel="2" x14ac:dyDescent="0.3">
      <c r="E142" s="306" t="s">
        <v>180</v>
      </c>
      <c r="F142" s="353" t="s">
        <v>181</v>
      </c>
      <c r="G142" s="354" t="s">
        <v>31</v>
      </c>
      <c r="H142" s="355"/>
      <c r="I142" s="293"/>
      <c r="J142" s="293"/>
      <c r="K142" s="293"/>
      <c r="L142" s="359"/>
      <c r="M142" s="292"/>
      <c r="N142" s="293"/>
      <c r="O142" s="309">
        <v>0</v>
      </c>
      <c r="P142" s="292">
        <v>0</v>
      </c>
      <c r="Q142" s="309"/>
      <c r="R142" s="292"/>
      <c r="S142" s="384"/>
      <c r="T142" s="362">
        <f>$P142/IF($P$22=0,$P$18,$P$22)*IF($T$22=0,$T$18,T$22)</f>
        <v>0</v>
      </c>
      <c r="U142" s="362">
        <f>$V142/IF($V$22=0,$V$18,$V$22)*IF($U$22=0,$U$18,U$22)</f>
        <v>0</v>
      </c>
      <c r="V142" s="362">
        <f>(W142-T142)*2</f>
        <v>0</v>
      </c>
      <c r="W142" s="298">
        <f>R142</f>
        <v>0</v>
      </c>
      <c r="X142" s="384"/>
      <c r="Y142" s="293"/>
      <c r="Z142" s="293"/>
      <c r="AA142" s="293"/>
      <c r="AB142" s="297">
        <f>W142</f>
        <v>0</v>
      </c>
      <c r="AC142" s="293"/>
      <c r="AD142" s="293"/>
      <c r="AE142" s="293"/>
      <c r="AF142" s="293"/>
      <c r="AG142" s="297">
        <f>AB142</f>
        <v>0</v>
      </c>
      <c r="AH142" s="293"/>
      <c r="AI142" s="293"/>
      <c r="AJ142" s="293"/>
      <c r="AK142" s="293"/>
      <c r="AL142" s="297">
        <f>AG142</f>
        <v>0</v>
      </c>
      <c r="AM142" s="293"/>
      <c r="AN142" s="293"/>
      <c r="AO142" s="293"/>
      <c r="AP142" s="293"/>
      <c r="AQ142" s="298">
        <f>AL142</f>
        <v>0</v>
      </c>
      <c r="AR142" s="20"/>
      <c r="AS142" s="20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</row>
    <row r="143" spans="5:62" s="21" customFormat="1" ht="22.5" hidden="1" customHeight="1" outlineLevel="2" x14ac:dyDescent="0.3">
      <c r="E143" s="306" t="s">
        <v>182</v>
      </c>
      <c r="F143" s="353" t="s">
        <v>183</v>
      </c>
      <c r="G143" s="354" t="s">
        <v>31</v>
      </c>
      <c r="H143" s="355"/>
      <c r="I143" s="293"/>
      <c r="J143" s="293"/>
      <c r="K143" s="293"/>
      <c r="L143" s="359"/>
      <c r="M143" s="292"/>
      <c r="N143" s="293"/>
      <c r="O143" s="309">
        <v>0</v>
      </c>
      <c r="P143" s="292">
        <v>0</v>
      </c>
      <c r="Q143" s="309"/>
      <c r="R143" s="292"/>
      <c r="S143" s="384"/>
      <c r="T143" s="362">
        <f>$P143/IF($P$22=0,$P$18,$P$22)*IF($T$22=0,$T$18,T$22)</f>
        <v>0</v>
      </c>
      <c r="U143" s="362">
        <f>$V143/IF($V$22=0,$V$18,$V$22)*IF($U$22=0,$U$18,U$22)</f>
        <v>0</v>
      </c>
      <c r="V143" s="362">
        <f>(W143-T143)*2</f>
        <v>0</v>
      </c>
      <c r="W143" s="298">
        <f>R143</f>
        <v>0</v>
      </c>
      <c r="X143" s="384"/>
      <c r="Y143" s="362"/>
      <c r="Z143" s="362"/>
      <c r="AA143" s="362"/>
      <c r="AB143" s="297">
        <f>W143</f>
        <v>0</v>
      </c>
      <c r="AC143" s="293"/>
      <c r="AD143" s="362"/>
      <c r="AE143" s="362"/>
      <c r="AF143" s="362"/>
      <c r="AG143" s="297">
        <f>AB143</f>
        <v>0</v>
      </c>
      <c r="AH143" s="293"/>
      <c r="AI143" s="362"/>
      <c r="AJ143" s="362"/>
      <c r="AK143" s="362"/>
      <c r="AL143" s="297">
        <f>AG143</f>
        <v>0</v>
      </c>
      <c r="AM143" s="293"/>
      <c r="AN143" s="362"/>
      <c r="AO143" s="362"/>
      <c r="AP143" s="362"/>
      <c r="AQ143" s="298">
        <f>AL143</f>
        <v>0</v>
      </c>
      <c r="AR143" s="20"/>
      <c r="AS143" s="20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</row>
    <row r="144" spans="5:62" s="21" customFormat="1" ht="22.5" hidden="1" customHeight="1" outlineLevel="1" x14ac:dyDescent="0.3">
      <c r="E144" s="306" t="s">
        <v>184</v>
      </c>
      <c r="F144" s="353" t="s">
        <v>185</v>
      </c>
      <c r="G144" s="354" t="s">
        <v>31</v>
      </c>
      <c r="H144" s="355"/>
      <c r="I144" s="358"/>
      <c r="J144" s="358"/>
      <c r="K144" s="358"/>
      <c r="L144" s="359"/>
      <c r="M144" s="292"/>
      <c r="N144" s="358"/>
      <c r="O144" s="359">
        <f>O145+O146</f>
        <v>0</v>
      </c>
      <c r="P144" s="360">
        <v>0</v>
      </c>
      <c r="Q144" s="359"/>
      <c r="R144" s="360"/>
      <c r="S144" s="361"/>
      <c r="T144" s="293">
        <f>T145+T146</f>
        <v>0</v>
      </c>
      <c r="U144" s="293">
        <f t="shared" ref="U144:W144" si="72">U145+U146</f>
        <v>0</v>
      </c>
      <c r="V144" s="293">
        <f t="shared" si="72"/>
        <v>0</v>
      </c>
      <c r="W144" s="359">
        <f t="shared" si="72"/>
        <v>0</v>
      </c>
      <c r="X144" s="361"/>
      <c r="Y144" s="293"/>
      <c r="Z144" s="293"/>
      <c r="AA144" s="293"/>
      <c r="AB144" s="297">
        <f t="shared" si="70"/>
        <v>0</v>
      </c>
      <c r="AC144" s="358"/>
      <c r="AD144" s="293"/>
      <c r="AE144" s="293"/>
      <c r="AF144" s="293"/>
      <c r="AG144" s="297">
        <f>AD144+AE144</f>
        <v>0</v>
      </c>
      <c r="AH144" s="358"/>
      <c r="AI144" s="293"/>
      <c r="AJ144" s="293"/>
      <c r="AK144" s="293"/>
      <c r="AL144" s="297">
        <f>AI144+AJ144</f>
        <v>0</v>
      </c>
      <c r="AM144" s="358"/>
      <c r="AN144" s="293"/>
      <c r="AO144" s="293"/>
      <c r="AP144" s="293"/>
      <c r="AQ144" s="298">
        <f>AN144+AO144</f>
        <v>0</v>
      </c>
      <c r="AR144" s="20"/>
      <c r="AS144" s="20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</row>
    <row r="145" spans="5:62" s="21" customFormat="1" ht="22.5" hidden="1" customHeight="1" outlineLevel="2" x14ac:dyDescent="0.3">
      <c r="E145" s="306" t="s">
        <v>186</v>
      </c>
      <c r="F145" s="353" t="s">
        <v>187</v>
      </c>
      <c r="G145" s="354" t="s">
        <v>31</v>
      </c>
      <c r="H145" s="355"/>
      <c r="I145" s="293"/>
      <c r="J145" s="293"/>
      <c r="K145" s="293"/>
      <c r="L145" s="359"/>
      <c r="M145" s="292"/>
      <c r="N145" s="293"/>
      <c r="O145" s="309">
        <v>0</v>
      </c>
      <c r="P145" s="292">
        <v>0</v>
      </c>
      <c r="Q145" s="309"/>
      <c r="R145" s="292"/>
      <c r="S145" s="384"/>
      <c r="T145" s="362">
        <f>$P145/IF($P$22=0,$P$17,$P$22)*IF($T$22=0,$T$17,T$22)</f>
        <v>0</v>
      </c>
      <c r="U145" s="362">
        <f>$V145/IF($V$22=0,$V$18,$V$22)*IF($U$22=0,$U$18,U$22)</f>
        <v>0</v>
      </c>
      <c r="V145" s="362">
        <f>(W145-T145)*2</f>
        <v>0</v>
      </c>
      <c r="W145" s="298">
        <v>0</v>
      </c>
      <c r="X145" s="384"/>
      <c r="Y145" s="362"/>
      <c r="Z145" s="362"/>
      <c r="AA145" s="362"/>
      <c r="AB145" s="297">
        <f>W145</f>
        <v>0</v>
      </c>
      <c r="AC145" s="293"/>
      <c r="AD145" s="362"/>
      <c r="AE145" s="362"/>
      <c r="AF145" s="362"/>
      <c r="AG145" s="297">
        <f>AB145</f>
        <v>0</v>
      </c>
      <c r="AH145" s="293"/>
      <c r="AI145" s="362"/>
      <c r="AJ145" s="362"/>
      <c r="AK145" s="362"/>
      <c r="AL145" s="297">
        <f>AG145</f>
        <v>0</v>
      </c>
      <c r="AM145" s="293"/>
      <c r="AN145" s="362"/>
      <c r="AO145" s="362"/>
      <c r="AP145" s="362"/>
      <c r="AQ145" s="298">
        <f>AL145</f>
        <v>0</v>
      </c>
      <c r="AR145" s="20"/>
      <c r="AS145" s="20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</row>
    <row r="146" spans="5:62" s="21" customFormat="1" ht="22.5" hidden="1" customHeight="1" outlineLevel="2" x14ac:dyDescent="0.3">
      <c r="E146" s="306" t="s">
        <v>188</v>
      </c>
      <c r="F146" s="353" t="s">
        <v>189</v>
      </c>
      <c r="G146" s="354" t="s">
        <v>31</v>
      </c>
      <c r="H146" s="355"/>
      <c r="I146" s="293"/>
      <c r="J146" s="293"/>
      <c r="K146" s="293"/>
      <c r="L146" s="359"/>
      <c r="M146" s="292"/>
      <c r="N146" s="293"/>
      <c r="O146" s="309">
        <v>0</v>
      </c>
      <c r="P146" s="292">
        <v>0</v>
      </c>
      <c r="Q146" s="309"/>
      <c r="R146" s="292"/>
      <c r="S146" s="384"/>
      <c r="T146" s="362">
        <f>$P146/IF($P$22=0,$P$17,$P$22)*IF($T$22=0,$T$17,T$22)</f>
        <v>0</v>
      </c>
      <c r="U146" s="362">
        <f>$V146/IF($V$22=0,$V$18,$V$22)*IF($U$22=0,$U$18,U$22)</f>
        <v>0</v>
      </c>
      <c r="V146" s="362">
        <f>(W146-T146)*2</f>
        <v>0</v>
      </c>
      <c r="W146" s="298">
        <v>0</v>
      </c>
      <c r="X146" s="384"/>
      <c r="Y146" s="362"/>
      <c r="Z146" s="362"/>
      <c r="AA146" s="362"/>
      <c r="AB146" s="297">
        <f>W146</f>
        <v>0</v>
      </c>
      <c r="AC146" s="293"/>
      <c r="AD146" s="362"/>
      <c r="AE146" s="362"/>
      <c r="AF146" s="362"/>
      <c r="AG146" s="297">
        <f>AB146</f>
        <v>0</v>
      </c>
      <c r="AH146" s="293"/>
      <c r="AI146" s="362"/>
      <c r="AJ146" s="362"/>
      <c r="AK146" s="362"/>
      <c r="AL146" s="297">
        <f>AG146</f>
        <v>0</v>
      </c>
      <c r="AM146" s="293"/>
      <c r="AN146" s="362"/>
      <c r="AO146" s="362"/>
      <c r="AP146" s="362"/>
      <c r="AQ146" s="298">
        <f>AL146</f>
        <v>0</v>
      </c>
      <c r="AR146" s="20"/>
      <c r="AS146" s="20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</row>
    <row r="147" spans="5:62" s="33" customFormat="1" ht="22.5" customHeight="1" outlineLevel="2" x14ac:dyDescent="0.3">
      <c r="E147" s="352" t="s">
        <v>190</v>
      </c>
      <c r="F147" s="387" t="s">
        <v>34</v>
      </c>
      <c r="G147" s="354" t="s">
        <v>31</v>
      </c>
      <c r="H147" s="355">
        <v>0</v>
      </c>
      <c r="I147" s="358">
        <v>0</v>
      </c>
      <c r="J147" s="358">
        <v>0</v>
      </c>
      <c r="K147" s="358">
        <v>0</v>
      </c>
      <c r="L147" s="359">
        <v>0</v>
      </c>
      <c r="M147" s="292">
        <v>0</v>
      </c>
      <c r="N147" s="358">
        <v>0</v>
      </c>
      <c r="O147" s="359">
        <v>0</v>
      </c>
      <c r="P147" s="360">
        <v>0</v>
      </c>
      <c r="Q147" s="359"/>
      <c r="R147" s="360">
        <v>0.2</v>
      </c>
      <c r="S147" s="361">
        <f>R147</f>
        <v>0.2</v>
      </c>
      <c r="T147" s="362">
        <f>$P147/IF($P$22=0,$P$17,$P$22)*IF($T$22=0,$T$17,T$22)</f>
        <v>0</v>
      </c>
      <c r="U147" s="362">
        <f>$V147/IF($V$22=0,$V$18,$V$22)*IF($U$22=0,$U$18,U$22)</f>
        <v>0</v>
      </c>
      <c r="V147" s="362">
        <f>(W147-T147)*2</f>
        <v>0</v>
      </c>
      <c r="W147" s="298">
        <v>0</v>
      </c>
      <c r="X147" s="361"/>
      <c r="Y147" s="362"/>
      <c r="Z147" s="362"/>
      <c r="AA147" s="362"/>
      <c r="AB147" s="297">
        <f>W147</f>
        <v>0</v>
      </c>
      <c r="AC147" s="358"/>
      <c r="AD147" s="362"/>
      <c r="AE147" s="362"/>
      <c r="AF147" s="362"/>
      <c r="AG147" s="297">
        <f>AB147</f>
        <v>0</v>
      </c>
      <c r="AH147" s="358"/>
      <c r="AI147" s="362"/>
      <c r="AJ147" s="362"/>
      <c r="AK147" s="362"/>
      <c r="AL147" s="297">
        <f>AG147</f>
        <v>0</v>
      </c>
      <c r="AM147" s="358"/>
      <c r="AN147" s="362"/>
      <c r="AO147" s="362"/>
      <c r="AP147" s="362"/>
      <c r="AQ147" s="298">
        <f>AL147</f>
        <v>0</v>
      </c>
      <c r="AR147" s="31"/>
      <c r="AS147" s="31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</row>
    <row r="148" spans="5:62" s="21" customFormat="1" ht="22.5" customHeight="1" collapsed="1" x14ac:dyDescent="0.3">
      <c r="E148" s="415">
        <v>4</v>
      </c>
      <c r="F148" s="416" t="s">
        <v>191</v>
      </c>
      <c r="G148" s="396" t="s">
        <v>31</v>
      </c>
      <c r="H148" s="397">
        <v>0</v>
      </c>
      <c r="I148" s="398"/>
      <c r="J148" s="398"/>
      <c r="K148" s="398"/>
      <c r="L148" s="399"/>
      <c r="M148" s="400">
        <v>0</v>
      </c>
      <c r="N148" s="398">
        <v>0</v>
      </c>
      <c r="O148" s="399">
        <v>0</v>
      </c>
      <c r="P148" s="401">
        <v>0</v>
      </c>
      <c r="Q148" s="399">
        <v>0</v>
      </c>
      <c r="R148" s="401">
        <v>0</v>
      </c>
      <c r="S148" s="402">
        <v>0</v>
      </c>
      <c r="T148" s="403">
        <f t="shared" ref="T148:AQ148" si="73">T149</f>
        <v>0</v>
      </c>
      <c r="U148" s="403">
        <v>0</v>
      </c>
      <c r="V148" s="403">
        <f t="shared" si="73"/>
        <v>0</v>
      </c>
      <c r="W148" s="399">
        <f t="shared" si="73"/>
        <v>0</v>
      </c>
      <c r="X148" s="402"/>
      <c r="Y148" s="403">
        <f t="shared" ref="Y148:Y153" si="74">U148</f>
        <v>0</v>
      </c>
      <c r="Z148" s="403"/>
      <c r="AA148" s="403"/>
      <c r="AB148" s="398">
        <f t="shared" si="73"/>
        <v>0</v>
      </c>
      <c r="AC148" s="398"/>
      <c r="AD148" s="403"/>
      <c r="AE148" s="403"/>
      <c r="AF148" s="403"/>
      <c r="AG148" s="398">
        <f t="shared" si="73"/>
        <v>0</v>
      </c>
      <c r="AH148" s="398"/>
      <c r="AI148" s="403"/>
      <c r="AJ148" s="403"/>
      <c r="AK148" s="403"/>
      <c r="AL148" s="398">
        <f t="shared" si="73"/>
        <v>0</v>
      </c>
      <c r="AM148" s="398"/>
      <c r="AN148" s="403"/>
      <c r="AO148" s="403"/>
      <c r="AP148" s="403"/>
      <c r="AQ148" s="399">
        <f t="shared" si="73"/>
        <v>0</v>
      </c>
      <c r="AR148" s="20"/>
      <c r="AS148" s="20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</row>
    <row r="149" spans="5:62" s="21" customFormat="1" ht="60.75" hidden="1" outlineLevel="1" x14ac:dyDescent="0.3">
      <c r="E149" s="306" t="s">
        <v>192</v>
      </c>
      <c r="F149" s="353" t="s">
        <v>193</v>
      </c>
      <c r="G149" s="354" t="s">
        <v>31</v>
      </c>
      <c r="H149" s="355"/>
      <c r="I149" s="358"/>
      <c r="J149" s="358"/>
      <c r="K149" s="358"/>
      <c r="L149" s="359"/>
      <c r="M149" s="365"/>
      <c r="N149" s="358"/>
      <c r="O149" s="359">
        <v>0</v>
      </c>
      <c r="P149" s="360">
        <v>0</v>
      </c>
      <c r="Q149" s="359"/>
      <c r="R149" s="360"/>
      <c r="S149" s="361"/>
      <c r="T149" s="362">
        <f>$P149/IF($P$22=0,$P$17,$P$22)*IF($T$22=0,$T$17,T$22)</f>
        <v>0</v>
      </c>
      <c r="U149" s="362">
        <f>$V149/IF($V$22=0,$V$18,$V$22)*IF($U$22=0,$U$18,U$22)</f>
        <v>0</v>
      </c>
      <c r="V149" s="362">
        <f t="shared" ref="V149:V160" si="75">(W149-T149)*2</f>
        <v>0</v>
      </c>
      <c r="W149" s="298">
        <f>R149</f>
        <v>0</v>
      </c>
      <c r="X149" s="361"/>
      <c r="Y149" s="403">
        <f t="shared" si="74"/>
        <v>0</v>
      </c>
      <c r="Z149" s="362"/>
      <c r="AA149" s="362"/>
      <c r="AB149" s="297">
        <f>W149</f>
        <v>0</v>
      </c>
      <c r="AC149" s="358"/>
      <c r="AD149" s="362"/>
      <c r="AE149" s="362"/>
      <c r="AF149" s="362"/>
      <c r="AG149" s="297">
        <f>AB149</f>
        <v>0</v>
      </c>
      <c r="AH149" s="358"/>
      <c r="AI149" s="362"/>
      <c r="AJ149" s="362"/>
      <c r="AK149" s="362"/>
      <c r="AL149" s="297">
        <f>AG149</f>
        <v>0</v>
      </c>
      <c r="AM149" s="358"/>
      <c r="AN149" s="362"/>
      <c r="AO149" s="362"/>
      <c r="AP149" s="362"/>
      <c r="AQ149" s="298">
        <f>AL149</f>
        <v>0</v>
      </c>
      <c r="AR149" s="20"/>
      <c r="AS149" s="20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</row>
    <row r="150" spans="5:62" s="21" customFormat="1" ht="22.5" customHeight="1" collapsed="1" x14ac:dyDescent="0.3">
      <c r="E150" s="415">
        <v>5</v>
      </c>
      <c r="F150" s="416" t="s">
        <v>194</v>
      </c>
      <c r="G150" s="396" t="s">
        <v>31</v>
      </c>
      <c r="H150" s="397">
        <v>0</v>
      </c>
      <c r="I150" s="398">
        <v>0</v>
      </c>
      <c r="J150" s="398">
        <v>0</v>
      </c>
      <c r="K150" s="398">
        <v>0</v>
      </c>
      <c r="L150" s="399">
        <v>0</v>
      </c>
      <c r="M150" s="400">
        <v>0</v>
      </c>
      <c r="N150" s="398">
        <v>0</v>
      </c>
      <c r="O150" s="399">
        <f>O151+O152</f>
        <v>0</v>
      </c>
      <c r="P150" s="401">
        <v>0</v>
      </c>
      <c r="Q150" s="399"/>
      <c r="R150" s="401">
        <v>0</v>
      </c>
      <c r="S150" s="402">
        <v>0</v>
      </c>
      <c r="T150" s="403">
        <f t="shared" ref="T150:AQ150" si="76">SUM(T151:T152)</f>
        <v>0</v>
      </c>
      <c r="U150" s="403">
        <v>0</v>
      </c>
      <c r="V150" s="403">
        <f t="shared" si="76"/>
        <v>0</v>
      </c>
      <c r="W150" s="399">
        <f t="shared" si="76"/>
        <v>0</v>
      </c>
      <c r="X150" s="402"/>
      <c r="Y150" s="403">
        <f t="shared" si="74"/>
        <v>0</v>
      </c>
      <c r="Z150" s="403"/>
      <c r="AA150" s="403"/>
      <c r="AB150" s="398">
        <f t="shared" si="76"/>
        <v>0</v>
      </c>
      <c r="AC150" s="398"/>
      <c r="AD150" s="403"/>
      <c r="AE150" s="403"/>
      <c r="AF150" s="403"/>
      <c r="AG150" s="398">
        <f>SUM(AG151:AG152)</f>
        <v>0</v>
      </c>
      <c r="AH150" s="398"/>
      <c r="AI150" s="403"/>
      <c r="AJ150" s="403"/>
      <c r="AK150" s="403"/>
      <c r="AL150" s="398">
        <f t="shared" si="76"/>
        <v>0</v>
      </c>
      <c r="AM150" s="398"/>
      <c r="AN150" s="403"/>
      <c r="AO150" s="403"/>
      <c r="AP150" s="403"/>
      <c r="AQ150" s="399">
        <f t="shared" si="76"/>
        <v>0</v>
      </c>
      <c r="AR150" s="20"/>
      <c r="AS150" s="20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</row>
    <row r="151" spans="5:62" s="21" customFormat="1" ht="22.5" hidden="1" customHeight="1" outlineLevel="1" x14ac:dyDescent="0.3">
      <c r="E151" s="306" t="s">
        <v>195</v>
      </c>
      <c r="F151" s="353" t="s">
        <v>196</v>
      </c>
      <c r="G151" s="354" t="s">
        <v>31</v>
      </c>
      <c r="H151" s="355">
        <v>0</v>
      </c>
      <c r="I151" s="358">
        <v>0</v>
      </c>
      <c r="J151" s="358">
        <v>0</v>
      </c>
      <c r="K151" s="358">
        <v>0</v>
      </c>
      <c r="L151" s="359">
        <v>0</v>
      </c>
      <c r="M151" s="365">
        <v>0</v>
      </c>
      <c r="N151" s="358">
        <v>0</v>
      </c>
      <c r="O151" s="359">
        <v>0</v>
      </c>
      <c r="P151" s="360">
        <v>0</v>
      </c>
      <c r="Q151" s="359"/>
      <c r="R151" s="360"/>
      <c r="S151" s="361"/>
      <c r="T151" s="362">
        <f>$P151/IF($P$22=0,$P$17,$P$22)*IF($T$22=0,$T$17,T$22)</f>
        <v>0</v>
      </c>
      <c r="U151" s="362">
        <f>$V151/IF($V$22=0,$V$18,$V$22)*IF($U$22=0,$U$18,U$22)</f>
        <v>0</v>
      </c>
      <c r="V151" s="362">
        <f t="shared" si="75"/>
        <v>0</v>
      </c>
      <c r="W151" s="298">
        <f>R151</f>
        <v>0</v>
      </c>
      <c r="X151" s="384"/>
      <c r="Y151" s="403">
        <f t="shared" si="74"/>
        <v>0</v>
      </c>
      <c r="Z151" s="362"/>
      <c r="AA151" s="362"/>
      <c r="AB151" s="297">
        <f>W151</f>
        <v>0</v>
      </c>
      <c r="AC151" s="293"/>
      <c r="AD151" s="362"/>
      <c r="AE151" s="362"/>
      <c r="AF151" s="362"/>
      <c r="AG151" s="297">
        <f>AB151</f>
        <v>0</v>
      </c>
      <c r="AH151" s="293"/>
      <c r="AI151" s="362"/>
      <c r="AJ151" s="362"/>
      <c r="AK151" s="362"/>
      <c r="AL151" s="297">
        <f>AG151</f>
        <v>0</v>
      </c>
      <c r="AM151" s="293"/>
      <c r="AN151" s="362"/>
      <c r="AO151" s="362"/>
      <c r="AP151" s="362"/>
      <c r="AQ151" s="298">
        <f>AL151</f>
        <v>0</v>
      </c>
      <c r="AR151" s="20"/>
      <c r="AS151" s="20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</row>
    <row r="152" spans="5:62" s="21" customFormat="1" ht="33.75" hidden="1" customHeight="1" outlineLevel="1" x14ac:dyDescent="0.3">
      <c r="E152" s="306" t="s">
        <v>197</v>
      </c>
      <c r="F152" s="353" t="s">
        <v>198</v>
      </c>
      <c r="G152" s="354" t="s">
        <v>31</v>
      </c>
      <c r="H152" s="355">
        <v>0</v>
      </c>
      <c r="I152" s="358">
        <v>0</v>
      </c>
      <c r="J152" s="358">
        <v>0</v>
      </c>
      <c r="K152" s="358">
        <v>0</v>
      </c>
      <c r="L152" s="359">
        <v>0</v>
      </c>
      <c r="M152" s="365">
        <v>0</v>
      </c>
      <c r="N152" s="358">
        <v>0</v>
      </c>
      <c r="O152" s="359">
        <v>0</v>
      </c>
      <c r="P152" s="360">
        <v>0</v>
      </c>
      <c r="Q152" s="359"/>
      <c r="R152" s="360"/>
      <c r="S152" s="361"/>
      <c r="T152" s="362">
        <f>$P152/IF($P$22=0,$P$17,$P$22)*IF($T$22=0,$T$17,T$22)</f>
        <v>0</v>
      </c>
      <c r="U152" s="362">
        <f>$V152/IF($V$22=0,$V$18,$V$22)*IF($U$22=0,$U$18,U$22)</f>
        <v>0</v>
      </c>
      <c r="V152" s="362">
        <f t="shared" si="75"/>
        <v>0</v>
      </c>
      <c r="W152" s="298">
        <f>R152</f>
        <v>0</v>
      </c>
      <c r="X152" s="361"/>
      <c r="Y152" s="403">
        <f t="shared" si="74"/>
        <v>0</v>
      </c>
      <c r="Z152" s="362"/>
      <c r="AA152" s="362"/>
      <c r="AB152" s="297">
        <f>W152</f>
        <v>0</v>
      </c>
      <c r="AC152" s="358"/>
      <c r="AD152" s="362"/>
      <c r="AE152" s="362"/>
      <c r="AF152" s="362"/>
      <c r="AG152" s="297">
        <f>AB152</f>
        <v>0</v>
      </c>
      <c r="AH152" s="358"/>
      <c r="AI152" s="362"/>
      <c r="AJ152" s="362"/>
      <c r="AK152" s="362"/>
      <c r="AL152" s="297">
        <f>AG152</f>
        <v>0</v>
      </c>
      <c r="AM152" s="358"/>
      <c r="AN152" s="362"/>
      <c r="AO152" s="362"/>
      <c r="AP152" s="362"/>
      <c r="AQ152" s="298">
        <f>AL152</f>
        <v>0</v>
      </c>
      <c r="AR152" s="20"/>
      <c r="AS152" s="20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</row>
    <row r="153" spans="5:62" s="21" customFormat="1" ht="34.5" customHeight="1" x14ac:dyDescent="0.3">
      <c r="E153" s="303" t="s">
        <v>199</v>
      </c>
      <c r="F153" s="395" t="s">
        <v>200</v>
      </c>
      <c r="G153" s="396" t="s">
        <v>31</v>
      </c>
      <c r="H153" s="397">
        <v>0</v>
      </c>
      <c r="I153" s="403">
        <v>0</v>
      </c>
      <c r="J153" s="403">
        <v>0</v>
      </c>
      <c r="K153" s="403">
        <v>0</v>
      </c>
      <c r="L153" s="417">
        <v>0</v>
      </c>
      <c r="M153" s="400">
        <v>0</v>
      </c>
      <c r="N153" s="403">
        <v>0</v>
      </c>
      <c r="O153" s="417">
        <f>IF(M153=0,0,(O25+O74+O112+O124-O125+O132+O137+O139+O141+O147+O148)*0.05)</f>
        <v>0</v>
      </c>
      <c r="P153" s="400">
        <v>0</v>
      </c>
      <c r="Q153" s="417"/>
      <c r="R153" s="400">
        <v>0</v>
      </c>
      <c r="S153" s="418">
        <v>50.2</v>
      </c>
      <c r="T153" s="417">
        <f>IF($P$153=0,0,(T25+T74+T112+T124-T125+T132+T137+T139+T141+T147+T148)*0.05)</f>
        <v>0</v>
      </c>
      <c r="U153" s="403">
        <f>V153/2</f>
        <v>0</v>
      </c>
      <c r="V153" s="403">
        <f t="shared" si="75"/>
        <v>0</v>
      </c>
      <c r="W153" s="417">
        <f>IF($P$153=0,0,(W25+W74+W112+W124-W125+W132+W137+W139+W141+W147+W148)*0.05)</f>
        <v>0</v>
      </c>
      <c r="X153" s="419"/>
      <c r="Y153" s="403">
        <f t="shared" si="74"/>
        <v>0</v>
      </c>
      <c r="Z153" s="347">
        <f>AB153-Y153</f>
        <v>0</v>
      </c>
      <c r="AA153" s="347">
        <f>Z153*2</f>
        <v>0</v>
      </c>
      <c r="AB153" s="297">
        <f>IF($P$153=0,0,(AB25+AB74+AB112+AB124-AB125+AB132+AB137+AB139+AB141+AB147+AB148)*0.05)</f>
        <v>0</v>
      </c>
      <c r="AC153" s="358"/>
      <c r="AD153" s="362"/>
      <c r="AE153" s="362"/>
      <c r="AF153" s="362"/>
      <c r="AG153" s="297">
        <f>IF($P$153=0,0,(AG25+AG74+AG112+AG124-AG125+AG132+AG137+AG139+AG141+AG147+AG148)*0.05)</f>
        <v>0</v>
      </c>
      <c r="AH153" s="358"/>
      <c r="AI153" s="362"/>
      <c r="AJ153" s="362"/>
      <c r="AK153" s="362"/>
      <c r="AL153" s="297">
        <f>IF($P$153=0,0,(AL25+AL74+AL112+AL124-AL125+AL132+AL137+AL139+AL141+AL147+AL148)*0.05)</f>
        <v>0</v>
      </c>
      <c r="AM153" s="358"/>
      <c r="AN153" s="362"/>
      <c r="AO153" s="362"/>
      <c r="AP153" s="362"/>
      <c r="AQ153" s="298">
        <f>IF($P$153=0,0,(AQ25+AQ74+AQ112+AQ124-AQ125+AQ132+AQ137+AQ139+AQ141+AQ147+AQ148)*0.05)</f>
        <v>0</v>
      </c>
      <c r="AR153" s="34">
        <v>0.05</v>
      </c>
      <c r="AS153" s="34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</row>
    <row r="154" spans="5:62" s="28" customFormat="1" ht="22.5" customHeight="1" x14ac:dyDescent="0.3">
      <c r="E154" s="303" t="s">
        <v>201</v>
      </c>
      <c r="F154" s="395" t="s">
        <v>202</v>
      </c>
      <c r="G154" s="396" t="s">
        <v>31</v>
      </c>
      <c r="H154" s="398">
        <f t="shared" ref="H154:R154" si="77">SUM(H161:H171)</f>
        <v>0</v>
      </c>
      <c r="I154" s="398">
        <f t="shared" si="77"/>
        <v>0</v>
      </c>
      <c r="J154" s="398">
        <f t="shared" si="77"/>
        <v>0</v>
      </c>
      <c r="K154" s="398">
        <f t="shared" si="77"/>
        <v>0</v>
      </c>
      <c r="L154" s="398">
        <f t="shared" si="77"/>
        <v>0</v>
      </c>
      <c r="M154" s="398">
        <f t="shared" si="77"/>
        <v>0</v>
      </c>
      <c r="N154" s="398">
        <f t="shared" si="77"/>
        <v>0</v>
      </c>
      <c r="O154" s="398">
        <f t="shared" si="77"/>
        <v>0</v>
      </c>
      <c r="P154" s="398">
        <f t="shared" si="77"/>
        <v>-3.2888717229399163</v>
      </c>
      <c r="Q154" s="398">
        <f t="shared" si="77"/>
        <v>0</v>
      </c>
      <c r="R154" s="398">
        <f t="shared" si="77"/>
        <v>0</v>
      </c>
      <c r="S154" s="398">
        <f>S167</f>
        <v>3.22</v>
      </c>
      <c r="T154" s="398">
        <f>SUM(T161:T171)</f>
        <v>-11.562753888493987</v>
      </c>
      <c r="U154" s="398">
        <f t="shared" ref="U154:AQ154" si="78">SUM(U161:U171)</f>
        <v>-13.431635993574119</v>
      </c>
      <c r="V154" s="398">
        <f t="shared" si="78"/>
        <v>-26.863271987148238</v>
      </c>
      <c r="W154" s="398">
        <f t="shared" si="78"/>
        <v>-24.994389882068106</v>
      </c>
      <c r="X154" s="398">
        <f t="shared" si="78"/>
        <v>0</v>
      </c>
      <c r="Y154" s="398">
        <f t="shared" si="78"/>
        <v>0</v>
      </c>
      <c r="Z154" s="398">
        <f t="shared" si="78"/>
        <v>0</v>
      </c>
      <c r="AA154" s="398">
        <f t="shared" si="78"/>
        <v>0</v>
      </c>
      <c r="AB154" s="398">
        <f t="shared" si="78"/>
        <v>-21.883015553975952</v>
      </c>
      <c r="AC154" s="398">
        <f t="shared" si="78"/>
        <v>0</v>
      </c>
      <c r="AD154" s="398">
        <f t="shared" si="78"/>
        <v>0</v>
      </c>
      <c r="AE154" s="398">
        <f t="shared" si="78"/>
        <v>0</v>
      </c>
      <c r="AF154" s="398">
        <f t="shared" si="78"/>
        <v>0</v>
      </c>
      <c r="AG154" s="398">
        <f t="shared" si="78"/>
        <v>-10.941507776987976</v>
      </c>
      <c r="AH154" s="398">
        <f t="shared" si="78"/>
        <v>0</v>
      </c>
      <c r="AI154" s="398">
        <f t="shared" si="78"/>
        <v>0</v>
      </c>
      <c r="AJ154" s="398">
        <f t="shared" si="78"/>
        <v>0</v>
      </c>
      <c r="AK154" s="398">
        <f t="shared" si="78"/>
        <v>0</v>
      </c>
      <c r="AL154" s="398">
        <f t="shared" si="78"/>
        <v>-10.941507776987976</v>
      </c>
      <c r="AM154" s="398">
        <f t="shared" si="78"/>
        <v>0</v>
      </c>
      <c r="AN154" s="398">
        <f t="shared" si="78"/>
        <v>0</v>
      </c>
      <c r="AO154" s="398">
        <f t="shared" si="78"/>
        <v>0</v>
      </c>
      <c r="AP154" s="398">
        <f t="shared" si="78"/>
        <v>0</v>
      </c>
      <c r="AQ154" s="398">
        <f t="shared" si="78"/>
        <v>0</v>
      </c>
      <c r="AR154" s="26"/>
      <c r="AS154" s="26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</row>
    <row r="155" spans="5:62" s="21" customFormat="1" ht="22.5" hidden="1" customHeight="1" outlineLevel="1" x14ac:dyDescent="0.3">
      <c r="E155" s="306" t="s">
        <v>203</v>
      </c>
      <c r="F155" s="353" t="s">
        <v>204</v>
      </c>
      <c r="G155" s="354"/>
      <c r="H155" s="420"/>
      <c r="I155" s="293"/>
      <c r="J155" s="293"/>
      <c r="K155" s="293"/>
      <c r="L155" s="309"/>
      <c r="M155" s="292"/>
      <c r="N155" s="293"/>
      <c r="O155" s="309"/>
      <c r="P155" s="292"/>
      <c r="Q155" s="309"/>
      <c r="R155" s="292"/>
      <c r="S155" s="384"/>
      <c r="T155" s="362">
        <f t="shared" ref="T155:T160" si="79">$P155/IF($P$22=0,$P$18,$P$22)*IF($T$22=0,$T$18,T$22)</f>
        <v>0</v>
      </c>
      <c r="U155" s="362">
        <f t="shared" ref="U155:U160" si="80">$V155/IF($V$22=0,$V$18,$V$22)*IF($U$22=0,$U$18,U$22)</f>
        <v>0</v>
      </c>
      <c r="V155" s="362">
        <f t="shared" si="75"/>
        <v>0</v>
      </c>
      <c r="W155" s="298">
        <v>0</v>
      </c>
      <c r="X155" s="384"/>
      <c r="Y155" s="362">
        <f t="shared" ref="Y155:Y160" si="81">$V155/IF($V$22=0,$V$18,$V$22)*IF($Y$22=0,$Y$18,Y$22)</f>
        <v>0</v>
      </c>
      <c r="Z155" s="362">
        <f t="shared" ref="Z155:Z160" si="82">$AA155/IF($AA$22=0,$AA$18,$AA$22)*IF($Z$22=0,$Z$18,Z$22)</f>
        <v>0</v>
      </c>
      <c r="AA155" s="362">
        <f t="shared" ref="AA155:AA160" si="83">(AB155-Y155)*2</f>
        <v>0</v>
      </c>
      <c r="AB155" s="297">
        <v>0</v>
      </c>
      <c r="AC155" s="293"/>
      <c r="AD155" s="362">
        <f t="shared" ref="AD155:AD160" si="84">$V155/IF($V$22=0,$V$18,$V$22)*IF($Y$22=0,$Y$18,AD$22)</f>
        <v>0</v>
      </c>
      <c r="AE155" s="362">
        <f t="shared" ref="AE155:AE160" si="85">AF155/2</f>
        <v>0</v>
      </c>
      <c r="AF155" s="362">
        <f t="shared" ref="AF155:AF160" si="86">(AG155-AD155)*2</f>
        <v>0</v>
      </c>
      <c r="AG155" s="297">
        <v>0</v>
      </c>
      <c r="AH155" s="293"/>
      <c r="AI155" s="362"/>
      <c r="AJ155" s="362"/>
      <c r="AK155" s="362"/>
      <c r="AL155" s="297">
        <v>0</v>
      </c>
      <c r="AM155" s="293"/>
      <c r="AN155" s="362"/>
      <c r="AO155" s="362"/>
      <c r="AP155" s="362"/>
      <c r="AQ155" s="298">
        <v>0</v>
      </c>
      <c r="AR155" s="20"/>
      <c r="AS155" s="20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</row>
    <row r="156" spans="5:62" s="21" customFormat="1" ht="81" hidden="1" outlineLevel="1" x14ac:dyDescent="0.3">
      <c r="E156" s="306" t="s">
        <v>205</v>
      </c>
      <c r="F156" s="353" t="s">
        <v>206</v>
      </c>
      <c r="G156" s="354"/>
      <c r="H156" s="420"/>
      <c r="I156" s="293"/>
      <c r="J156" s="293"/>
      <c r="K156" s="293"/>
      <c r="L156" s="309"/>
      <c r="M156" s="292"/>
      <c r="N156" s="293"/>
      <c r="O156" s="309"/>
      <c r="P156" s="292"/>
      <c r="Q156" s="309"/>
      <c r="R156" s="292"/>
      <c r="S156" s="384"/>
      <c r="T156" s="362">
        <f t="shared" si="79"/>
        <v>0</v>
      </c>
      <c r="U156" s="362">
        <f t="shared" si="80"/>
        <v>0</v>
      </c>
      <c r="V156" s="362">
        <f t="shared" si="75"/>
        <v>0</v>
      </c>
      <c r="W156" s="298">
        <v>0</v>
      </c>
      <c r="X156" s="384"/>
      <c r="Y156" s="362">
        <f t="shared" si="81"/>
        <v>0</v>
      </c>
      <c r="Z156" s="362">
        <f t="shared" si="82"/>
        <v>0</v>
      </c>
      <c r="AA156" s="362">
        <f t="shared" si="83"/>
        <v>0</v>
      </c>
      <c r="AB156" s="297">
        <v>0</v>
      </c>
      <c r="AC156" s="293"/>
      <c r="AD156" s="362">
        <f t="shared" si="84"/>
        <v>0</v>
      </c>
      <c r="AE156" s="362">
        <f t="shared" si="85"/>
        <v>0</v>
      </c>
      <c r="AF156" s="362">
        <f t="shared" si="86"/>
        <v>0</v>
      </c>
      <c r="AG156" s="297">
        <v>0</v>
      </c>
      <c r="AH156" s="293"/>
      <c r="AI156" s="362"/>
      <c r="AJ156" s="362"/>
      <c r="AK156" s="362"/>
      <c r="AL156" s="297">
        <v>0</v>
      </c>
      <c r="AM156" s="293"/>
      <c r="AN156" s="362"/>
      <c r="AO156" s="362"/>
      <c r="AP156" s="362"/>
      <c r="AQ156" s="298">
        <v>0</v>
      </c>
      <c r="AR156" s="20"/>
      <c r="AS156" s="20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</row>
    <row r="157" spans="5:62" s="21" customFormat="1" ht="40.5" hidden="1" outlineLevel="1" x14ac:dyDescent="0.3">
      <c r="E157" s="306" t="s">
        <v>207</v>
      </c>
      <c r="F157" s="353" t="s">
        <v>208</v>
      </c>
      <c r="G157" s="354"/>
      <c r="H157" s="420"/>
      <c r="I157" s="293"/>
      <c r="J157" s="293"/>
      <c r="K157" s="293"/>
      <c r="L157" s="309"/>
      <c r="M157" s="292"/>
      <c r="N157" s="293"/>
      <c r="O157" s="309"/>
      <c r="P157" s="292"/>
      <c r="Q157" s="309"/>
      <c r="R157" s="292"/>
      <c r="S157" s="384"/>
      <c r="T157" s="362">
        <f t="shared" si="79"/>
        <v>0</v>
      </c>
      <c r="U157" s="362">
        <f t="shared" si="80"/>
        <v>0</v>
      </c>
      <c r="V157" s="362">
        <f t="shared" si="75"/>
        <v>0</v>
      </c>
      <c r="W157" s="298">
        <v>0</v>
      </c>
      <c r="X157" s="384"/>
      <c r="Y157" s="362">
        <f t="shared" si="81"/>
        <v>0</v>
      </c>
      <c r="Z157" s="362">
        <f t="shared" si="82"/>
        <v>0</v>
      </c>
      <c r="AA157" s="362">
        <f t="shared" si="83"/>
        <v>0</v>
      </c>
      <c r="AB157" s="297">
        <v>0</v>
      </c>
      <c r="AC157" s="293"/>
      <c r="AD157" s="362">
        <f t="shared" si="84"/>
        <v>0</v>
      </c>
      <c r="AE157" s="362">
        <f t="shared" si="85"/>
        <v>0</v>
      </c>
      <c r="AF157" s="362">
        <f t="shared" si="86"/>
        <v>0</v>
      </c>
      <c r="AG157" s="297">
        <v>0</v>
      </c>
      <c r="AH157" s="293"/>
      <c r="AI157" s="362"/>
      <c r="AJ157" s="362"/>
      <c r="AK157" s="362"/>
      <c r="AL157" s="297">
        <v>0</v>
      </c>
      <c r="AM157" s="293"/>
      <c r="AN157" s="362"/>
      <c r="AO157" s="362"/>
      <c r="AP157" s="362"/>
      <c r="AQ157" s="298">
        <v>0</v>
      </c>
      <c r="AR157" s="20"/>
      <c r="AS157" s="20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</row>
    <row r="158" spans="5:62" s="21" customFormat="1" ht="60.75" hidden="1" outlineLevel="1" x14ac:dyDescent="0.3">
      <c r="E158" s="306" t="s">
        <v>209</v>
      </c>
      <c r="F158" s="353" t="s">
        <v>210</v>
      </c>
      <c r="G158" s="354"/>
      <c r="H158" s="420"/>
      <c r="I158" s="293"/>
      <c r="J158" s="293"/>
      <c r="K158" s="293"/>
      <c r="L158" s="309"/>
      <c r="M158" s="292"/>
      <c r="N158" s="293"/>
      <c r="O158" s="309"/>
      <c r="P158" s="292"/>
      <c r="Q158" s="309"/>
      <c r="R158" s="292"/>
      <c r="S158" s="384"/>
      <c r="T158" s="362">
        <f t="shared" si="79"/>
        <v>0</v>
      </c>
      <c r="U158" s="362">
        <f t="shared" si="80"/>
        <v>0</v>
      </c>
      <c r="V158" s="362">
        <f t="shared" si="75"/>
        <v>0</v>
      </c>
      <c r="W158" s="298">
        <v>0</v>
      </c>
      <c r="X158" s="384"/>
      <c r="Y158" s="362">
        <f t="shared" si="81"/>
        <v>0</v>
      </c>
      <c r="Z158" s="362">
        <f t="shared" si="82"/>
        <v>0</v>
      </c>
      <c r="AA158" s="362">
        <f t="shared" si="83"/>
        <v>0</v>
      </c>
      <c r="AB158" s="297">
        <v>0</v>
      </c>
      <c r="AC158" s="293"/>
      <c r="AD158" s="362">
        <f t="shared" si="84"/>
        <v>0</v>
      </c>
      <c r="AE158" s="362">
        <f t="shared" si="85"/>
        <v>0</v>
      </c>
      <c r="AF158" s="362">
        <f t="shared" si="86"/>
        <v>0</v>
      </c>
      <c r="AG158" s="297">
        <v>0</v>
      </c>
      <c r="AH158" s="293"/>
      <c r="AI158" s="362"/>
      <c r="AJ158" s="362"/>
      <c r="AK158" s="362"/>
      <c r="AL158" s="297">
        <v>0</v>
      </c>
      <c r="AM158" s="293"/>
      <c r="AN158" s="362"/>
      <c r="AO158" s="362"/>
      <c r="AP158" s="362"/>
      <c r="AQ158" s="298">
        <v>0</v>
      </c>
      <c r="AR158" s="20"/>
      <c r="AS158" s="20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</row>
    <row r="159" spans="5:62" s="21" customFormat="1" ht="22.5" hidden="1" customHeight="1" outlineLevel="1" x14ac:dyDescent="0.3">
      <c r="E159" s="306" t="s">
        <v>211</v>
      </c>
      <c r="F159" s="353" t="s">
        <v>212</v>
      </c>
      <c r="G159" s="354"/>
      <c r="H159" s="420"/>
      <c r="I159" s="293"/>
      <c r="J159" s="293"/>
      <c r="K159" s="293"/>
      <c r="L159" s="309"/>
      <c r="M159" s="292"/>
      <c r="N159" s="293"/>
      <c r="O159" s="309"/>
      <c r="P159" s="292"/>
      <c r="Q159" s="309"/>
      <c r="R159" s="292"/>
      <c r="S159" s="384"/>
      <c r="T159" s="362">
        <f t="shared" si="79"/>
        <v>0</v>
      </c>
      <c r="U159" s="362">
        <f t="shared" si="80"/>
        <v>0</v>
      </c>
      <c r="V159" s="362">
        <f t="shared" si="75"/>
        <v>0</v>
      </c>
      <c r="W159" s="298">
        <v>0</v>
      </c>
      <c r="X159" s="384"/>
      <c r="Y159" s="362">
        <f t="shared" si="81"/>
        <v>0</v>
      </c>
      <c r="Z159" s="362">
        <f t="shared" si="82"/>
        <v>0</v>
      </c>
      <c r="AA159" s="362">
        <f t="shared" si="83"/>
        <v>0</v>
      </c>
      <c r="AB159" s="297">
        <v>0</v>
      </c>
      <c r="AC159" s="293"/>
      <c r="AD159" s="362">
        <f t="shared" si="84"/>
        <v>0</v>
      </c>
      <c r="AE159" s="362">
        <f t="shared" si="85"/>
        <v>0</v>
      </c>
      <c r="AF159" s="362">
        <f t="shared" si="86"/>
        <v>0</v>
      </c>
      <c r="AG159" s="297">
        <v>0</v>
      </c>
      <c r="AH159" s="293"/>
      <c r="AI159" s="362"/>
      <c r="AJ159" s="362"/>
      <c r="AK159" s="362"/>
      <c r="AL159" s="297">
        <v>0</v>
      </c>
      <c r="AM159" s="293"/>
      <c r="AN159" s="362"/>
      <c r="AO159" s="362"/>
      <c r="AP159" s="362"/>
      <c r="AQ159" s="298">
        <v>0</v>
      </c>
      <c r="AR159" s="20"/>
      <c r="AS159" s="20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</row>
    <row r="160" spans="5:62" s="21" customFormat="1" ht="40.5" hidden="1" outlineLevel="1" x14ac:dyDescent="0.3">
      <c r="E160" s="306" t="s">
        <v>213</v>
      </c>
      <c r="F160" s="353" t="s">
        <v>214</v>
      </c>
      <c r="G160" s="354"/>
      <c r="H160" s="420"/>
      <c r="I160" s="293"/>
      <c r="J160" s="293"/>
      <c r="K160" s="293"/>
      <c r="L160" s="309"/>
      <c r="M160" s="292"/>
      <c r="N160" s="293"/>
      <c r="O160" s="309"/>
      <c r="P160" s="292"/>
      <c r="Q160" s="309"/>
      <c r="R160" s="292"/>
      <c r="S160" s="384"/>
      <c r="T160" s="362">
        <f t="shared" si="79"/>
        <v>0</v>
      </c>
      <c r="U160" s="362">
        <f t="shared" si="80"/>
        <v>0</v>
      </c>
      <c r="V160" s="362">
        <f t="shared" si="75"/>
        <v>0</v>
      </c>
      <c r="W160" s="298">
        <v>0</v>
      </c>
      <c r="X160" s="384"/>
      <c r="Y160" s="362">
        <f t="shared" si="81"/>
        <v>0</v>
      </c>
      <c r="Z160" s="362">
        <f t="shared" si="82"/>
        <v>0</v>
      </c>
      <c r="AA160" s="362">
        <f t="shared" si="83"/>
        <v>0</v>
      </c>
      <c r="AB160" s="297">
        <v>0</v>
      </c>
      <c r="AC160" s="293"/>
      <c r="AD160" s="362">
        <f t="shared" si="84"/>
        <v>0</v>
      </c>
      <c r="AE160" s="362">
        <f t="shared" si="85"/>
        <v>0</v>
      </c>
      <c r="AF160" s="362">
        <f t="shared" si="86"/>
        <v>0</v>
      </c>
      <c r="AG160" s="297">
        <v>0</v>
      </c>
      <c r="AH160" s="293"/>
      <c r="AI160" s="362"/>
      <c r="AJ160" s="362"/>
      <c r="AK160" s="362"/>
      <c r="AL160" s="297">
        <v>0</v>
      </c>
      <c r="AM160" s="293"/>
      <c r="AN160" s="362"/>
      <c r="AO160" s="362"/>
      <c r="AP160" s="362"/>
      <c r="AQ160" s="298">
        <v>0</v>
      </c>
      <c r="AR160" s="20"/>
      <c r="AS160" s="20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</row>
    <row r="161" spans="5:63" s="21" customFormat="1" ht="23.25" hidden="1" outlineLevel="1" x14ac:dyDescent="0.3">
      <c r="E161" s="306"/>
      <c r="F161" s="353" t="s">
        <v>215</v>
      </c>
      <c r="G161" s="354" t="s">
        <v>31</v>
      </c>
      <c r="H161" s="355"/>
      <c r="I161" s="293"/>
      <c r="J161" s="293"/>
      <c r="K161" s="293"/>
      <c r="L161" s="309"/>
      <c r="M161" s="292"/>
      <c r="N161" s="293"/>
      <c r="O161" s="309">
        <f t="shared" ref="O161:O168" si="87">M161</f>
        <v>0</v>
      </c>
      <c r="P161" s="292"/>
      <c r="Q161" s="309"/>
      <c r="R161" s="292"/>
      <c r="S161" s="384"/>
      <c r="T161" s="362">
        <v>0</v>
      </c>
      <c r="U161" s="362">
        <f>$V161/IF($V$22=0,$V$18,$V$22)*IF($U$22=0,$U$18,U$22)</f>
        <v>0</v>
      </c>
      <c r="V161" s="362">
        <v>0</v>
      </c>
      <c r="W161" s="298">
        <f>T161+U161</f>
        <v>0</v>
      </c>
      <c r="X161" s="384"/>
      <c r="Y161" s="362"/>
      <c r="Z161" s="362"/>
      <c r="AA161" s="362"/>
      <c r="AB161" s="297">
        <v>0</v>
      </c>
      <c r="AC161" s="293"/>
      <c r="AD161" s="362"/>
      <c r="AE161" s="362"/>
      <c r="AF161" s="362"/>
      <c r="AG161" s="297">
        <v>0</v>
      </c>
      <c r="AH161" s="293"/>
      <c r="AI161" s="362"/>
      <c r="AJ161" s="362"/>
      <c r="AK161" s="362"/>
      <c r="AL161" s="297">
        <v>0</v>
      </c>
      <c r="AM161" s="293"/>
      <c r="AN161" s="362"/>
      <c r="AO161" s="362"/>
      <c r="AP161" s="362"/>
      <c r="AQ161" s="298">
        <v>0</v>
      </c>
      <c r="AR161" s="20"/>
      <c r="AS161" s="20"/>
      <c r="AT161" s="32"/>
      <c r="AU161" s="32"/>
      <c r="AV161" s="32"/>
      <c r="AW161" s="32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32"/>
      <c r="BK161" s="24"/>
    </row>
    <row r="162" spans="5:63" s="21" customFormat="1" ht="23.25" hidden="1" outlineLevel="1" x14ac:dyDescent="0.3">
      <c r="E162" s="306"/>
      <c r="F162" s="353" t="s">
        <v>216</v>
      </c>
      <c r="G162" s="354" t="s">
        <v>31</v>
      </c>
      <c r="H162" s="355"/>
      <c r="I162" s="293"/>
      <c r="J162" s="293"/>
      <c r="K162" s="293"/>
      <c r="L162" s="309"/>
      <c r="M162" s="292"/>
      <c r="N162" s="293"/>
      <c r="O162" s="309">
        <f t="shared" si="87"/>
        <v>0</v>
      </c>
      <c r="P162" s="292"/>
      <c r="Q162" s="309"/>
      <c r="R162" s="292"/>
      <c r="S162" s="384"/>
      <c r="T162" s="362">
        <v>0</v>
      </c>
      <c r="U162" s="362">
        <f t="shared" ref="U162:U169" si="88">$V162/IF($V$22=0,$V$18,$V$22)*IF($U$22=0,$U$18,U$22)</f>
        <v>0</v>
      </c>
      <c r="V162" s="362">
        <v>0</v>
      </c>
      <c r="W162" s="298">
        <f t="shared" ref="W162:W169" si="89">T162+U162</f>
        <v>0</v>
      </c>
      <c r="X162" s="384"/>
      <c r="Y162" s="362"/>
      <c r="Z162" s="362"/>
      <c r="AA162" s="362"/>
      <c r="AB162" s="297">
        <v>0</v>
      </c>
      <c r="AC162" s="293"/>
      <c r="AD162" s="362"/>
      <c r="AE162" s="362"/>
      <c r="AF162" s="362"/>
      <c r="AG162" s="297">
        <v>0</v>
      </c>
      <c r="AH162" s="293"/>
      <c r="AI162" s="362"/>
      <c r="AJ162" s="362"/>
      <c r="AK162" s="362"/>
      <c r="AL162" s="297">
        <v>0</v>
      </c>
      <c r="AM162" s="293"/>
      <c r="AN162" s="362"/>
      <c r="AO162" s="362"/>
      <c r="AP162" s="362"/>
      <c r="AQ162" s="298">
        <v>0</v>
      </c>
      <c r="AR162" s="20"/>
      <c r="AS162" s="20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24"/>
    </row>
    <row r="163" spans="5:63" s="21" customFormat="1" ht="23.25" hidden="1" outlineLevel="1" x14ac:dyDescent="0.3">
      <c r="E163" s="306"/>
      <c r="F163" s="353" t="s">
        <v>217</v>
      </c>
      <c r="G163" s="354" t="s">
        <v>31</v>
      </c>
      <c r="H163" s="355"/>
      <c r="I163" s="293"/>
      <c r="J163" s="293"/>
      <c r="K163" s="293"/>
      <c r="L163" s="309"/>
      <c r="M163" s="292"/>
      <c r="N163" s="293"/>
      <c r="O163" s="309">
        <f t="shared" si="87"/>
        <v>0</v>
      </c>
      <c r="P163" s="292"/>
      <c r="Q163" s="309"/>
      <c r="R163" s="292"/>
      <c r="S163" s="384"/>
      <c r="T163" s="362">
        <v>0</v>
      </c>
      <c r="U163" s="362">
        <f t="shared" si="88"/>
        <v>0</v>
      </c>
      <c r="V163" s="362">
        <v>0</v>
      </c>
      <c r="W163" s="298">
        <f t="shared" si="89"/>
        <v>0</v>
      </c>
      <c r="X163" s="384"/>
      <c r="Y163" s="362"/>
      <c r="Z163" s="362"/>
      <c r="AA163" s="362"/>
      <c r="AB163" s="297">
        <v>0</v>
      </c>
      <c r="AC163" s="293"/>
      <c r="AD163" s="362"/>
      <c r="AE163" s="362"/>
      <c r="AF163" s="362"/>
      <c r="AG163" s="297">
        <v>0</v>
      </c>
      <c r="AH163" s="293"/>
      <c r="AI163" s="362"/>
      <c r="AJ163" s="362"/>
      <c r="AK163" s="362"/>
      <c r="AL163" s="297">
        <v>0</v>
      </c>
      <c r="AM163" s="293"/>
      <c r="AN163" s="362"/>
      <c r="AO163" s="362"/>
      <c r="AP163" s="362"/>
      <c r="AQ163" s="298">
        <v>0</v>
      </c>
      <c r="AR163" s="20"/>
      <c r="AS163" s="20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71"/>
      <c r="BE163" s="70"/>
      <c r="BF163" s="32"/>
      <c r="BG163" s="32"/>
      <c r="BH163" s="71"/>
      <c r="BI163" s="32"/>
      <c r="BJ163" s="32"/>
      <c r="BK163" s="24"/>
    </row>
    <row r="164" spans="5:63" s="21" customFormat="1" ht="23.25" hidden="1" outlineLevel="1" x14ac:dyDescent="0.3">
      <c r="E164" s="306"/>
      <c r="F164" s="353" t="s">
        <v>218</v>
      </c>
      <c r="G164" s="354" t="s">
        <v>31</v>
      </c>
      <c r="H164" s="355"/>
      <c r="I164" s="293"/>
      <c r="J164" s="293"/>
      <c r="K164" s="293"/>
      <c r="L164" s="309"/>
      <c r="M164" s="292"/>
      <c r="N164" s="293"/>
      <c r="O164" s="309">
        <f t="shared" si="87"/>
        <v>0</v>
      </c>
      <c r="P164" s="292"/>
      <c r="Q164" s="309"/>
      <c r="R164" s="292"/>
      <c r="S164" s="384"/>
      <c r="T164" s="362">
        <v>0</v>
      </c>
      <c r="U164" s="362">
        <f t="shared" si="88"/>
        <v>0</v>
      </c>
      <c r="V164" s="362">
        <v>0</v>
      </c>
      <c r="W164" s="298">
        <f t="shared" si="89"/>
        <v>0</v>
      </c>
      <c r="X164" s="384"/>
      <c r="Y164" s="362"/>
      <c r="Z164" s="362"/>
      <c r="AA164" s="362"/>
      <c r="AB164" s="297">
        <v>0</v>
      </c>
      <c r="AC164" s="293"/>
      <c r="AD164" s="362"/>
      <c r="AE164" s="362"/>
      <c r="AF164" s="362"/>
      <c r="AG164" s="297">
        <v>0</v>
      </c>
      <c r="AH164" s="293"/>
      <c r="AI164" s="362"/>
      <c r="AJ164" s="362"/>
      <c r="AK164" s="362"/>
      <c r="AL164" s="297">
        <v>0</v>
      </c>
      <c r="AM164" s="293"/>
      <c r="AN164" s="362"/>
      <c r="AO164" s="362"/>
      <c r="AP164" s="362"/>
      <c r="AQ164" s="298">
        <v>0</v>
      </c>
      <c r="AR164" s="65"/>
      <c r="AS164" s="66"/>
      <c r="AT164" s="20"/>
      <c r="AU164" s="20"/>
      <c r="AV164" s="32"/>
      <c r="AW164" s="32"/>
      <c r="AX164" s="32"/>
      <c r="AY164" s="32"/>
      <c r="AZ164" s="32"/>
      <c r="BA164" s="32"/>
      <c r="BB164" s="32"/>
      <c r="BC164" s="32"/>
      <c r="BD164" s="70"/>
      <c r="BE164" s="70"/>
      <c r="BF164" s="32"/>
      <c r="BG164" s="32"/>
      <c r="BH164" s="71"/>
      <c r="BI164" s="32"/>
      <c r="BJ164" s="32"/>
      <c r="BK164" s="24"/>
    </row>
    <row r="165" spans="5:63" s="21" customFormat="1" ht="23.25" hidden="1" outlineLevel="1" x14ac:dyDescent="0.3">
      <c r="E165" s="306"/>
      <c r="F165" s="353" t="s">
        <v>219</v>
      </c>
      <c r="G165" s="354" t="s">
        <v>31</v>
      </c>
      <c r="H165" s="355"/>
      <c r="I165" s="293"/>
      <c r="J165" s="293"/>
      <c r="K165" s="293"/>
      <c r="L165" s="309"/>
      <c r="M165" s="292"/>
      <c r="N165" s="293"/>
      <c r="O165" s="309">
        <f t="shared" si="87"/>
        <v>0</v>
      </c>
      <c r="P165" s="292"/>
      <c r="Q165" s="309"/>
      <c r="R165" s="292"/>
      <c r="S165" s="384"/>
      <c r="T165" s="362">
        <v>0</v>
      </c>
      <c r="U165" s="362">
        <f t="shared" si="88"/>
        <v>0</v>
      </c>
      <c r="V165" s="362">
        <v>0</v>
      </c>
      <c r="W165" s="298">
        <f>U165+T165</f>
        <v>0</v>
      </c>
      <c r="X165" s="384"/>
      <c r="Y165" s="362"/>
      <c r="Z165" s="362"/>
      <c r="AA165" s="362"/>
      <c r="AB165" s="297">
        <v>0</v>
      </c>
      <c r="AC165" s="293"/>
      <c r="AD165" s="362"/>
      <c r="AE165" s="362"/>
      <c r="AF165" s="362"/>
      <c r="AG165" s="297">
        <v>0</v>
      </c>
      <c r="AH165" s="293"/>
      <c r="AI165" s="362"/>
      <c r="AJ165" s="362"/>
      <c r="AK165" s="362"/>
      <c r="AL165" s="297">
        <v>0</v>
      </c>
      <c r="AM165" s="293"/>
      <c r="AN165" s="362"/>
      <c r="AO165" s="362"/>
      <c r="AP165" s="362"/>
      <c r="AQ165" s="298">
        <v>0</v>
      </c>
      <c r="AR165" s="65"/>
      <c r="AS165" s="66"/>
      <c r="AT165" s="20"/>
      <c r="AU165" s="20"/>
      <c r="AV165" s="32"/>
      <c r="AW165" s="71"/>
      <c r="AX165" s="32"/>
      <c r="AY165" s="32"/>
      <c r="AZ165" s="32"/>
      <c r="BA165" s="32"/>
      <c r="BB165" s="32"/>
      <c r="BC165" s="32"/>
      <c r="BD165" s="32"/>
      <c r="BE165" s="71"/>
      <c r="BF165" s="71"/>
      <c r="BG165" s="71"/>
      <c r="BH165" s="71"/>
      <c r="BI165" s="32"/>
      <c r="BJ165" s="32"/>
      <c r="BK165" s="24"/>
    </row>
    <row r="166" spans="5:63" s="21" customFormat="1" ht="23.25" outlineLevel="1" x14ac:dyDescent="0.3">
      <c r="E166" s="306"/>
      <c r="F166" s="353" t="s">
        <v>222</v>
      </c>
      <c r="G166" s="354" t="s">
        <v>31</v>
      </c>
      <c r="H166" s="355">
        <v>0</v>
      </c>
      <c r="I166" s="293"/>
      <c r="J166" s="293"/>
      <c r="K166" s="293"/>
      <c r="L166" s="309"/>
      <c r="M166" s="292">
        <v>0</v>
      </c>
      <c r="N166" s="293">
        <v>0</v>
      </c>
      <c r="O166" s="309">
        <f>M166</f>
        <v>0</v>
      </c>
      <c r="P166" s="292">
        <v>-3.2888717229399163</v>
      </c>
      <c r="Q166" s="309"/>
      <c r="R166" s="292"/>
      <c r="S166" s="384">
        <v>0</v>
      </c>
      <c r="T166" s="362">
        <v>0</v>
      </c>
      <c r="U166" s="362">
        <f t="shared" si="88"/>
        <v>0</v>
      </c>
      <c r="V166" s="362">
        <v>0</v>
      </c>
      <c r="W166" s="298">
        <f t="shared" ref="W166" si="90">T166+U166</f>
        <v>0</v>
      </c>
      <c r="X166" s="384"/>
      <c r="Y166" s="362"/>
      <c r="Z166" s="362"/>
      <c r="AA166" s="362"/>
      <c r="AB166" s="297">
        <v>0</v>
      </c>
      <c r="AC166" s="293"/>
      <c r="AD166" s="362"/>
      <c r="AE166" s="362"/>
      <c r="AF166" s="362"/>
      <c r="AG166" s="297">
        <v>0</v>
      </c>
      <c r="AH166" s="293"/>
      <c r="AI166" s="362"/>
      <c r="AJ166" s="362"/>
      <c r="AK166" s="362"/>
      <c r="AL166" s="297">
        <v>0</v>
      </c>
      <c r="AM166" s="293"/>
      <c r="AN166" s="362"/>
      <c r="AO166" s="362"/>
      <c r="AP166" s="362"/>
      <c r="AQ166" s="298">
        <v>0</v>
      </c>
      <c r="AR166" s="635" t="s">
        <v>521</v>
      </c>
      <c r="AS166" s="636"/>
      <c r="AT166" s="6"/>
      <c r="AU166" s="6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6"/>
    </row>
    <row r="167" spans="5:63" s="21" customFormat="1" ht="23.25" outlineLevel="1" x14ac:dyDescent="0.3">
      <c r="E167" s="306"/>
      <c r="F167" s="353" t="s">
        <v>519</v>
      </c>
      <c r="G167" s="354" t="s">
        <v>31</v>
      </c>
      <c r="H167" s="355">
        <v>0</v>
      </c>
      <c r="I167" s="293"/>
      <c r="J167" s="293"/>
      <c r="K167" s="293"/>
      <c r="L167" s="309"/>
      <c r="M167" s="292">
        <v>0</v>
      </c>
      <c r="N167" s="293">
        <v>0</v>
      </c>
      <c r="O167" s="309">
        <v>0</v>
      </c>
      <c r="P167" s="292">
        <v>0</v>
      </c>
      <c r="Q167" s="309">
        <v>0</v>
      </c>
      <c r="R167" s="292">
        <v>0</v>
      </c>
      <c r="S167" s="384">
        <v>3.22</v>
      </c>
      <c r="T167" s="362">
        <f>W167/2</f>
        <v>-5.4707538884939879</v>
      </c>
      <c r="U167" s="362">
        <f>$V167/IF($V$22=0,$V$18,$V$22)*IF($U$22=0,$U$18,U$22)</f>
        <v>-5.4707538884939879</v>
      </c>
      <c r="V167" s="362">
        <f>(W167-T167)*2</f>
        <v>-10.941507776987976</v>
      </c>
      <c r="W167" s="298">
        <f>AR167/5</f>
        <v>-10.941507776987976</v>
      </c>
      <c r="X167" s="384"/>
      <c r="Y167" s="362"/>
      <c r="Z167" s="362"/>
      <c r="AA167" s="362"/>
      <c r="AB167" s="297">
        <f>W167*2</f>
        <v>-21.883015553975952</v>
      </c>
      <c r="AC167" s="293"/>
      <c r="AD167" s="362"/>
      <c r="AE167" s="362"/>
      <c r="AF167" s="362"/>
      <c r="AG167" s="297">
        <f>AB167/2</f>
        <v>-10.941507776987976</v>
      </c>
      <c r="AH167" s="293"/>
      <c r="AI167" s="362"/>
      <c r="AJ167" s="362"/>
      <c r="AK167" s="362"/>
      <c r="AL167" s="297">
        <f>AB167/2</f>
        <v>-10.941507776987976</v>
      </c>
      <c r="AM167" s="293"/>
      <c r="AN167" s="362"/>
      <c r="AO167" s="362"/>
      <c r="AP167" s="362"/>
      <c r="AQ167" s="298">
        <v>0</v>
      </c>
      <c r="AR167" s="65">
        <f>O203</f>
        <v>-54.707538884939879</v>
      </c>
      <c r="AS167" s="67">
        <f>W167+AB167+AG167+AL167</f>
        <v>-54.707538884939879</v>
      </c>
      <c r="AT167" s="6"/>
      <c r="AU167" s="6"/>
      <c r="AV167" s="32"/>
      <c r="AW167" s="71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6"/>
    </row>
    <row r="168" spans="5:63" s="21" customFormat="1" ht="102.75" hidden="1" customHeight="1" outlineLevel="1" x14ac:dyDescent="0.3">
      <c r="E168" s="306"/>
      <c r="F168" s="353" t="s">
        <v>220</v>
      </c>
      <c r="G168" s="354" t="s">
        <v>31</v>
      </c>
      <c r="H168" s="355"/>
      <c r="I168" s="293"/>
      <c r="J168" s="293"/>
      <c r="K168" s="293"/>
      <c r="L168" s="309"/>
      <c r="M168" s="292">
        <v>0</v>
      </c>
      <c r="N168" s="293">
        <v>0</v>
      </c>
      <c r="O168" s="309">
        <f t="shared" si="87"/>
        <v>0</v>
      </c>
      <c r="P168" s="292">
        <v>0</v>
      </c>
      <c r="Q168" s="309">
        <v>0</v>
      </c>
      <c r="R168" s="292">
        <v>0</v>
      </c>
      <c r="S168" s="384"/>
      <c r="T168" s="362">
        <v>0</v>
      </c>
      <c r="U168" s="362">
        <f t="shared" si="88"/>
        <v>0</v>
      </c>
      <c r="V168" s="362">
        <v>0</v>
      </c>
      <c r="W168" s="298">
        <f t="shared" si="89"/>
        <v>0</v>
      </c>
      <c r="X168" s="384"/>
      <c r="Y168" s="362"/>
      <c r="Z168" s="362"/>
      <c r="AA168" s="362"/>
      <c r="AB168" s="297">
        <v>0</v>
      </c>
      <c r="AC168" s="293"/>
      <c r="AD168" s="362"/>
      <c r="AE168" s="362"/>
      <c r="AF168" s="362"/>
      <c r="AG168" s="297">
        <v>0</v>
      </c>
      <c r="AH168" s="293"/>
      <c r="AI168" s="362"/>
      <c r="AJ168" s="362"/>
      <c r="AK168" s="362"/>
      <c r="AL168" s="297">
        <v>0</v>
      </c>
      <c r="AM168" s="293"/>
      <c r="AN168" s="362"/>
      <c r="AO168" s="362"/>
      <c r="AP168" s="362"/>
      <c r="AQ168" s="298">
        <v>0</v>
      </c>
      <c r="AR168" s="65"/>
      <c r="AS168" s="66"/>
      <c r="AT168" s="20"/>
      <c r="AU168" s="20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6"/>
    </row>
    <row r="169" spans="5:63" s="21" customFormat="1" ht="101.25" hidden="1" outlineLevel="1" x14ac:dyDescent="0.3">
      <c r="E169" s="306"/>
      <c r="F169" s="353" t="s">
        <v>221</v>
      </c>
      <c r="G169" s="354" t="s">
        <v>31</v>
      </c>
      <c r="H169" s="355"/>
      <c r="I169" s="293"/>
      <c r="J169" s="293"/>
      <c r="K169" s="293"/>
      <c r="L169" s="309"/>
      <c r="M169" s="292">
        <v>0</v>
      </c>
      <c r="N169" s="293">
        <v>0</v>
      </c>
      <c r="O169" s="309">
        <f>M169</f>
        <v>0</v>
      </c>
      <c r="P169" s="292">
        <v>0</v>
      </c>
      <c r="Q169" s="309">
        <v>0</v>
      </c>
      <c r="R169" s="292">
        <v>0</v>
      </c>
      <c r="S169" s="384"/>
      <c r="T169" s="362">
        <v>0</v>
      </c>
      <c r="U169" s="362">
        <f t="shared" si="88"/>
        <v>0</v>
      </c>
      <c r="V169" s="362">
        <v>0</v>
      </c>
      <c r="W169" s="298">
        <f t="shared" si="89"/>
        <v>0</v>
      </c>
      <c r="X169" s="384"/>
      <c r="Y169" s="362"/>
      <c r="Z169" s="362"/>
      <c r="AA169" s="362"/>
      <c r="AB169" s="297">
        <v>0</v>
      </c>
      <c r="AC169" s="293"/>
      <c r="AD169" s="362"/>
      <c r="AE169" s="362"/>
      <c r="AF169" s="362"/>
      <c r="AG169" s="297">
        <v>0</v>
      </c>
      <c r="AH169" s="293"/>
      <c r="AI169" s="362"/>
      <c r="AJ169" s="362"/>
      <c r="AK169" s="362"/>
      <c r="AL169" s="297">
        <v>0</v>
      </c>
      <c r="AM169" s="293"/>
      <c r="AN169" s="362"/>
      <c r="AO169" s="362"/>
      <c r="AP169" s="362"/>
      <c r="AQ169" s="298">
        <v>0</v>
      </c>
      <c r="AR169" s="65"/>
      <c r="AS169" s="66"/>
      <c r="AT169" s="6"/>
      <c r="AU169" s="6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6"/>
    </row>
    <row r="170" spans="5:63" s="21" customFormat="1" ht="101.25" outlineLevel="1" x14ac:dyDescent="0.3">
      <c r="E170" s="306"/>
      <c r="F170" s="353" t="s">
        <v>551</v>
      </c>
      <c r="G170" s="354" t="s">
        <v>31</v>
      </c>
      <c r="H170" s="355">
        <v>0</v>
      </c>
      <c r="I170" s="293"/>
      <c r="J170" s="293"/>
      <c r="K170" s="293"/>
      <c r="L170" s="309"/>
      <c r="M170" s="292">
        <v>0</v>
      </c>
      <c r="N170" s="293">
        <v>0</v>
      </c>
      <c r="O170" s="309">
        <v>0</v>
      </c>
      <c r="P170" s="292">
        <v>0</v>
      </c>
      <c r="Q170" s="309">
        <v>0</v>
      </c>
      <c r="R170" s="292">
        <v>0</v>
      </c>
      <c r="S170" s="384">
        <v>0</v>
      </c>
      <c r="T170" s="362">
        <v>-6.0919999999999996</v>
      </c>
      <c r="U170" s="362">
        <f>$V170/IF($V$22=0,$V$18,$V$22)*IF($U$22=0,$U$18,U$22)</f>
        <v>-7.9608821050801319</v>
      </c>
      <c r="V170" s="362">
        <f>(W170-T170)*2</f>
        <v>-15.921764210160264</v>
      </c>
      <c r="W170" s="298">
        <f>AR170</f>
        <v>-14.052882105080132</v>
      </c>
      <c r="X170" s="384"/>
      <c r="Y170" s="362"/>
      <c r="Z170" s="362"/>
      <c r="AA170" s="362"/>
      <c r="AB170" s="297">
        <v>0</v>
      </c>
      <c r="AC170" s="293"/>
      <c r="AD170" s="362"/>
      <c r="AE170" s="362"/>
      <c r="AF170" s="362"/>
      <c r="AG170" s="297">
        <v>0</v>
      </c>
      <c r="AH170" s="293"/>
      <c r="AI170" s="362"/>
      <c r="AJ170" s="362"/>
      <c r="AK170" s="362"/>
      <c r="AL170" s="297">
        <v>0</v>
      </c>
      <c r="AM170" s="293"/>
      <c r="AN170" s="362"/>
      <c r="AO170" s="362"/>
      <c r="AP170" s="362"/>
      <c r="AQ170" s="298">
        <v>0</v>
      </c>
      <c r="AR170" s="68">
        <f>IF(AT170=1,(-M172*(1+P183)*(1+V183)*0.03),0)</f>
        <v>-14.052882105080132</v>
      </c>
      <c r="AS170" s="69" t="s">
        <v>223</v>
      </c>
      <c r="AT170" s="35">
        <v>1</v>
      </c>
      <c r="AU170" s="66" t="s">
        <v>397</v>
      </c>
      <c r="AV170" s="32"/>
      <c r="AW170" s="71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6"/>
    </row>
    <row r="171" spans="5:63" s="21" customFormat="1" ht="42" customHeight="1" outlineLevel="1" x14ac:dyDescent="0.3">
      <c r="E171" s="306"/>
      <c r="F171" s="353" t="s">
        <v>364</v>
      </c>
      <c r="G171" s="354" t="s">
        <v>31</v>
      </c>
      <c r="H171" s="355">
        <v>0</v>
      </c>
      <c r="I171" s="293"/>
      <c r="J171" s="293"/>
      <c r="K171" s="293"/>
      <c r="L171" s="370"/>
      <c r="M171" s="292">
        <v>0</v>
      </c>
      <c r="N171" s="293">
        <v>0</v>
      </c>
      <c r="O171" s="309">
        <f>M171</f>
        <v>0</v>
      </c>
      <c r="P171" s="292">
        <v>0</v>
      </c>
      <c r="Q171" s="309">
        <v>0</v>
      </c>
      <c r="R171" s="292">
        <v>0</v>
      </c>
      <c r="S171" s="384">
        <v>0</v>
      </c>
      <c r="T171" s="362">
        <v>0</v>
      </c>
      <c r="U171" s="362">
        <v>0</v>
      </c>
      <c r="V171" s="362">
        <f>(W171-T171)*2</f>
        <v>0</v>
      </c>
      <c r="W171" s="298">
        <v>0</v>
      </c>
      <c r="X171" s="384"/>
      <c r="Y171" s="362"/>
      <c r="Z171" s="362"/>
      <c r="AA171" s="362"/>
      <c r="AB171" s="297">
        <v>0</v>
      </c>
      <c r="AC171" s="293"/>
      <c r="AD171" s="362"/>
      <c r="AE171" s="362"/>
      <c r="AF171" s="362"/>
      <c r="AG171" s="297">
        <v>0</v>
      </c>
      <c r="AH171" s="293"/>
      <c r="AI171" s="362"/>
      <c r="AJ171" s="362"/>
      <c r="AK171" s="362"/>
      <c r="AL171" s="297">
        <v>0</v>
      </c>
      <c r="AM171" s="293"/>
      <c r="AN171" s="362"/>
      <c r="AO171" s="362"/>
      <c r="AP171" s="362"/>
      <c r="AQ171" s="298">
        <v>0</v>
      </c>
      <c r="AR171" s="66"/>
      <c r="AS171" s="6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</row>
    <row r="172" spans="5:63" s="21" customFormat="1" ht="22.5" customHeight="1" thickBot="1" x14ac:dyDescent="0.35">
      <c r="E172" s="421" t="s">
        <v>224</v>
      </c>
      <c r="F172" s="422" t="s">
        <v>225</v>
      </c>
      <c r="G172" s="423" t="s">
        <v>31</v>
      </c>
      <c r="H172" s="424">
        <f t="shared" ref="H172:W172" si="91">H25+H74+H111+H148+H150+H153+H154</f>
        <v>396.21163199893067</v>
      </c>
      <c r="I172" s="425">
        <f t="shared" si="91"/>
        <v>0</v>
      </c>
      <c r="J172" s="425">
        <f t="shared" si="91"/>
        <v>0</v>
      </c>
      <c r="K172" s="425">
        <f t="shared" si="91"/>
        <v>0</v>
      </c>
      <c r="L172" s="426">
        <f t="shared" si="91"/>
        <v>0</v>
      </c>
      <c r="M172" s="424">
        <f t="shared" si="91"/>
        <v>468.42940350267105</v>
      </c>
      <c r="N172" s="425">
        <f t="shared" si="91"/>
        <v>322.00349999999997</v>
      </c>
      <c r="O172" s="426">
        <f t="shared" si="91"/>
        <v>424.11934548338741</v>
      </c>
      <c r="P172" s="424">
        <f t="shared" si="91"/>
        <v>487.91415482426356</v>
      </c>
      <c r="Q172" s="426">
        <f t="shared" si="91"/>
        <v>0</v>
      </c>
      <c r="R172" s="427">
        <f t="shared" si="91"/>
        <v>767.72798298632006</v>
      </c>
      <c r="S172" s="428">
        <f t="shared" ref="S172" si="92">S25+S74+S111+S148+S150+S153+S154</f>
        <v>1067.8768447323278</v>
      </c>
      <c r="T172" s="429">
        <f t="shared" si="91"/>
        <v>190.56279859409057</v>
      </c>
      <c r="U172" s="429">
        <f t="shared" si="91"/>
        <v>190.5617822929454</v>
      </c>
      <c r="V172" s="429">
        <f t="shared" si="91"/>
        <v>381.12356458589079</v>
      </c>
      <c r="W172" s="430">
        <f t="shared" si="91"/>
        <v>381.12458088703596</v>
      </c>
      <c r="X172" s="431"/>
      <c r="Y172" s="425">
        <f>Y25+Y74+Y111+Y148+Y150+Y153+Y154</f>
        <v>0</v>
      </c>
      <c r="Z172" s="347">
        <f>AB172-Y172</f>
        <v>397.50290101839647</v>
      </c>
      <c r="AA172" s="347">
        <f>Z172*2</f>
        <v>795.00580203679294</v>
      </c>
      <c r="AB172" s="425">
        <f>AB25+AB74+AB111+AB148+AB150+AB153+AB154</f>
        <v>397.50290101839647</v>
      </c>
      <c r="AC172" s="425"/>
      <c r="AD172" s="425"/>
      <c r="AE172" s="425"/>
      <c r="AF172" s="425"/>
      <c r="AG172" s="425">
        <f>AG25+AG74+AG111+AG148+AG150+AG153+AG154</f>
        <v>420.97529500711249</v>
      </c>
      <c r="AH172" s="425"/>
      <c r="AI172" s="425"/>
      <c r="AJ172" s="425"/>
      <c r="AK172" s="425"/>
      <c r="AL172" s="425">
        <f>AL25+AL74+AL111+AL148+AL150+AL153+AL154</f>
        <v>433.76330376982685</v>
      </c>
      <c r="AM172" s="425"/>
      <c r="AN172" s="425"/>
      <c r="AO172" s="425"/>
      <c r="AP172" s="425"/>
      <c r="AQ172" s="426">
        <f>AQ25+AQ74+AQ111+AQ148+AQ150+AQ153+AQ154</f>
        <v>457.98186564948128</v>
      </c>
      <c r="AR172" s="66">
        <f>AB172/W172</f>
        <v>1.0429736651811892</v>
      </c>
      <c r="AS172" s="66">
        <f>AG172/AB172</f>
        <v>1.0590496168168335</v>
      </c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</row>
    <row r="173" spans="5:63" s="21" customFormat="1" ht="37.5" customHeight="1" x14ac:dyDescent="0.3">
      <c r="E173" s="432" t="s">
        <v>226</v>
      </c>
      <c r="F173" s="433" t="str">
        <f>"Тариф на " &amp; tariftype &amp; ""</f>
        <v>Тариф на питьевую воду (питьевое водоснабжение)</v>
      </c>
      <c r="G173" s="434" t="s">
        <v>227</v>
      </c>
      <c r="H173" s="435">
        <f t="shared" ref="H173:W173" si="93">H172/IF(H17=0,H22,H17)</f>
        <v>399.20567455811658</v>
      </c>
      <c r="I173" s="436" t="e">
        <f t="shared" si="93"/>
        <v>#DIV/0!</v>
      </c>
      <c r="J173" s="436" t="e">
        <f t="shared" si="93"/>
        <v>#DIV/0!</v>
      </c>
      <c r="K173" s="436" t="e">
        <f t="shared" si="93"/>
        <v>#DIV/0!</v>
      </c>
      <c r="L173" s="437" t="e">
        <f t="shared" si="93"/>
        <v>#DIV/0!</v>
      </c>
      <c r="M173" s="435">
        <f t="shared" si="93"/>
        <v>471.9691722948827</v>
      </c>
      <c r="N173" s="436">
        <f t="shared" si="93"/>
        <v>317.39179718687473</v>
      </c>
      <c r="O173" s="437">
        <f t="shared" si="93"/>
        <v>418.04514946170883</v>
      </c>
      <c r="P173" s="435">
        <f t="shared" si="93"/>
        <v>491.60116355089531</v>
      </c>
      <c r="Q173" s="437" t="e">
        <f t="shared" si="93"/>
        <v>#DIV/0!</v>
      </c>
      <c r="R173" s="435">
        <f>R172/IF(R17=0,R22,R17)</f>
        <v>756.73265747323399</v>
      </c>
      <c r="S173" s="438">
        <f>S172/IF(S17=0,S22,S17)</f>
        <v>1052.5828164098921</v>
      </c>
      <c r="T173" s="436">
        <f t="shared" si="93"/>
        <v>375.6671534485734</v>
      </c>
      <c r="U173" s="436">
        <f t="shared" si="93"/>
        <v>375.66514995701539</v>
      </c>
      <c r="V173" s="436">
        <f t="shared" si="93"/>
        <v>375.66514995701539</v>
      </c>
      <c r="W173" s="437">
        <f t="shared" si="93"/>
        <v>375.66615170279437</v>
      </c>
      <c r="X173" s="438"/>
      <c r="Y173" s="436">
        <f>Y172/IF(Y17=0,Y22,Y17)</f>
        <v>0</v>
      </c>
      <c r="Z173" s="436">
        <f>Z172/IF(Z17=0,Z22,Z17)</f>
        <v>10.60460199067326</v>
      </c>
      <c r="AA173" s="436">
        <f>AA172/IF(AA17=0,AA22,AA17)</f>
        <v>10.60460199067326</v>
      </c>
      <c r="AB173" s="436">
        <f>ROUND(AB172/IF(AB17=0,AB17,AB17),2)</f>
        <v>391.81</v>
      </c>
      <c r="AC173" s="436"/>
      <c r="AD173" s="436"/>
      <c r="AE173" s="436"/>
      <c r="AF173" s="436"/>
      <c r="AG173" s="436">
        <f t="shared" ref="AG173:AQ173" si="94">ROUND(AG172/IF(AG17=0,AG17,AG17),2)</f>
        <v>414.95</v>
      </c>
      <c r="AH173" s="436" t="e">
        <f t="shared" si="94"/>
        <v>#DIV/0!</v>
      </c>
      <c r="AI173" s="436" t="e">
        <f t="shared" si="94"/>
        <v>#DIV/0!</v>
      </c>
      <c r="AJ173" s="436" t="e">
        <f t="shared" si="94"/>
        <v>#DIV/0!</v>
      </c>
      <c r="AK173" s="436" t="e">
        <f t="shared" si="94"/>
        <v>#DIV/0!</v>
      </c>
      <c r="AL173" s="436">
        <f t="shared" si="94"/>
        <v>427.55</v>
      </c>
      <c r="AM173" s="436" t="e">
        <f t="shared" si="94"/>
        <v>#DIV/0!</v>
      </c>
      <c r="AN173" s="436" t="e">
        <f t="shared" si="94"/>
        <v>#DIV/0!</v>
      </c>
      <c r="AO173" s="436" t="e">
        <f t="shared" si="94"/>
        <v>#DIV/0!</v>
      </c>
      <c r="AP173" s="436" t="e">
        <f t="shared" si="94"/>
        <v>#DIV/0!</v>
      </c>
      <c r="AQ173" s="436">
        <f t="shared" si="94"/>
        <v>451.42</v>
      </c>
      <c r="AR173" s="36" t="b">
        <f>IFERROR(V173=U173,0)</f>
        <v>1</v>
      </c>
      <c r="AS173" s="37"/>
      <c r="AT173" s="20"/>
      <c r="AU173" s="20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</row>
    <row r="174" spans="5:63" s="21" customFormat="1" ht="41.25" hidden="1" customHeight="1" thickBot="1" x14ac:dyDescent="0.3">
      <c r="E174" s="439"/>
      <c r="F174" s="440"/>
      <c r="G174" s="441"/>
      <c r="H174" s="442"/>
      <c r="I174" s="443"/>
      <c r="J174" s="443"/>
      <c r="K174" s="443"/>
      <c r="L174" s="444"/>
      <c r="M174" s="442"/>
      <c r="N174" s="443"/>
      <c r="O174" s="444"/>
      <c r="P174" s="442"/>
      <c r="Q174" s="444"/>
      <c r="R174" s="442"/>
      <c r="S174" s="445"/>
      <c r="T174" s="443"/>
      <c r="U174" s="443"/>
      <c r="V174" s="443"/>
      <c r="W174" s="444"/>
      <c r="X174" s="445"/>
      <c r="Y174" s="443"/>
      <c r="Z174" s="443"/>
      <c r="AA174" s="443"/>
      <c r="AB174" s="398">
        <f>ROUND(MIN(V173,AB173),2)</f>
        <v>375.67</v>
      </c>
      <c r="AC174" s="443"/>
      <c r="AD174" s="443"/>
      <c r="AE174" s="443"/>
      <c r="AF174" s="443"/>
      <c r="AG174" s="443"/>
      <c r="AH174" s="443"/>
      <c r="AI174" s="443"/>
      <c r="AJ174" s="443"/>
      <c r="AK174" s="443"/>
      <c r="AL174" s="443"/>
      <c r="AM174" s="443"/>
      <c r="AN174" s="443"/>
      <c r="AO174" s="443"/>
      <c r="AP174" s="443"/>
      <c r="AQ174" s="444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</row>
    <row r="175" spans="5:63" s="21" customFormat="1" ht="22.5" x14ac:dyDescent="0.3">
      <c r="E175" s="303"/>
      <c r="F175" s="446" t="s">
        <v>522</v>
      </c>
      <c r="G175" s="396" t="s">
        <v>227</v>
      </c>
      <c r="H175" s="401"/>
      <c r="I175" s="398"/>
      <c r="J175" s="398"/>
      <c r="K175" s="398"/>
      <c r="L175" s="399"/>
      <c r="M175" s="401"/>
      <c r="N175" s="398"/>
      <c r="O175" s="399"/>
      <c r="P175" s="401">
        <f>M173</f>
        <v>471.9691722948827</v>
      </c>
      <c r="Q175" s="399"/>
      <c r="R175" s="401">
        <f>R173</f>
        <v>756.73265747323399</v>
      </c>
      <c r="S175" s="402">
        <v>1052.58</v>
      </c>
      <c r="T175" s="398"/>
      <c r="U175" s="398"/>
      <c r="V175" s="398"/>
      <c r="W175" s="399">
        <f>T173</f>
        <v>375.6671534485734</v>
      </c>
      <c r="X175" s="402"/>
      <c r="Y175" s="398"/>
      <c r="Z175" s="398"/>
      <c r="AA175" s="398"/>
      <c r="AB175" s="398">
        <f>ROUND(MIN(W176,AB174),2)</f>
        <v>375.67</v>
      </c>
      <c r="AC175" s="398"/>
      <c r="AD175" s="398"/>
      <c r="AE175" s="398"/>
      <c r="AF175" s="398"/>
      <c r="AG175" s="398">
        <f t="shared" ref="AG175:AQ175" si="95">ROUND(MIN(AB176,AG174),2)</f>
        <v>407.95</v>
      </c>
      <c r="AH175" s="398">
        <f t="shared" si="95"/>
        <v>0</v>
      </c>
      <c r="AI175" s="398">
        <f t="shared" si="95"/>
        <v>0</v>
      </c>
      <c r="AJ175" s="398">
        <f t="shared" si="95"/>
        <v>0</v>
      </c>
      <c r="AK175" s="398">
        <f t="shared" si="95"/>
        <v>0</v>
      </c>
      <c r="AL175" s="398">
        <f t="shared" si="95"/>
        <v>421.94</v>
      </c>
      <c r="AM175" s="398" t="e">
        <f t="shared" si="95"/>
        <v>#DIV/0!</v>
      </c>
      <c r="AN175" s="398" t="e">
        <f t="shared" si="95"/>
        <v>#DIV/0!</v>
      </c>
      <c r="AO175" s="398" t="e">
        <f t="shared" si="95"/>
        <v>#DIV/0!</v>
      </c>
      <c r="AP175" s="398" t="e">
        <f t="shared" si="95"/>
        <v>#DIV/0!</v>
      </c>
      <c r="AQ175" s="398">
        <f t="shared" si="95"/>
        <v>433.16</v>
      </c>
      <c r="AR175" s="38" t="s">
        <v>0</v>
      </c>
      <c r="AS175" s="111">
        <f>(T173+U173)/2-W173</f>
        <v>0</v>
      </c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</row>
    <row r="176" spans="5:63" s="21" customFormat="1" ht="22.5" x14ac:dyDescent="0.25">
      <c r="E176" s="303"/>
      <c r="F176" s="446" t="s">
        <v>393</v>
      </c>
      <c r="G176" s="396" t="s">
        <v>227</v>
      </c>
      <c r="H176" s="401"/>
      <c r="I176" s="398"/>
      <c r="J176" s="398"/>
      <c r="K176" s="398"/>
      <c r="L176" s="399"/>
      <c r="M176" s="401"/>
      <c r="N176" s="398"/>
      <c r="O176" s="399"/>
      <c r="P176" s="401">
        <v>511.23</v>
      </c>
      <c r="Q176" s="399"/>
      <c r="R176" s="401">
        <v>756.74</v>
      </c>
      <c r="S176" s="402">
        <v>1052.5899999999999</v>
      </c>
      <c r="T176" s="398"/>
      <c r="U176" s="398"/>
      <c r="V176" s="398"/>
      <c r="W176" s="399">
        <f>U173</f>
        <v>375.66514995701539</v>
      </c>
      <c r="X176" s="402"/>
      <c r="Y176" s="398"/>
      <c r="Z176" s="398"/>
      <c r="AA176" s="398"/>
      <c r="AB176" s="398">
        <f>(AB172-AB175*AB17/2)*2/AB17</f>
        <v>407.94980625195211</v>
      </c>
      <c r="AC176" s="398"/>
      <c r="AD176" s="398"/>
      <c r="AE176" s="398"/>
      <c r="AF176" s="398"/>
      <c r="AG176" s="398">
        <f t="shared" ref="AG176:AQ176" si="96">(AG172-AG175*AG17/2)*2/AG17</f>
        <v>421.94225554121124</v>
      </c>
      <c r="AH176" s="398" t="e">
        <f t="shared" si="96"/>
        <v>#DIV/0!</v>
      </c>
      <c r="AI176" s="398" t="e">
        <f t="shared" si="96"/>
        <v>#DIV/0!</v>
      </c>
      <c r="AJ176" s="398" t="e">
        <f t="shared" si="96"/>
        <v>#DIV/0!</v>
      </c>
      <c r="AK176" s="398" t="e">
        <f t="shared" si="96"/>
        <v>#DIV/0!</v>
      </c>
      <c r="AL176" s="398">
        <f t="shared" si="96"/>
        <v>433.16197583083175</v>
      </c>
      <c r="AM176" s="398" t="e">
        <f t="shared" si="96"/>
        <v>#DIV/0!</v>
      </c>
      <c r="AN176" s="398" t="e">
        <f t="shared" si="96"/>
        <v>#DIV/0!</v>
      </c>
      <c r="AO176" s="398" t="e">
        <f t="shared" si="96"/>
        <v>#DIV/0!</v>
      </c>
      <c r="AP176" s="398" t="e">
        <f t="shared" si="96"/>
        <v>#DIV/0!</v>
      </c>
      <c r="AQ176" s="398">
        <f t="shared" si="96"/>
        <v>469.68538781402481</v>
      </c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</row>
    <row r="177" spans="5:62" s="21" customFormat="1" ht="22.5" customHeight="1" thickBot="1" x14ac:dyDescent="0.3">
      <c r="E177" s="313"/>
      <c r="F177" s="447" t="s">
        <v>228</v>
      </c>
      <c r="G177" s="448" t="s">
        <v>24</v>
      </c>
      <c r="H177" s="449"/>
      <c r="I177" s="450"/>
      <c r="J177" s="450"/>
      <c r="K177" s="450"/>
      <c r="L177" s="451"/>
      <c r="M177" s="452"/>
      <c r="N177" s="60"/>
      <c r="O177" s="61"/>
      <c r="P177" s="452"/>
      <c r="Q177" s="61" t="e">
        <f>Q173/P173</f>
        <v>#DIV/0!</v>
      </c>
      <c r="R177" s="453">
        <f>R173/P173</f>
        <v>1.5393223482370577</v>
      </c>
      <c r="S177" s="454"/>
      <c r="T177" s="60">
        <f>T173/P176</f>
        <v>0.734830024545847</v>
      </c>
      <c r="U177" s="60"/>
      <c r="V177" s="455">
        <f>V173/P176</f>
        <v>0.73482610558264461</v>
      </c>
      <c r="W177" s="61">
        <f>W173/P173</f>
        <v>0.76416855686286789</v>
      </c>
      <c r="X177" s="456"/>
      <c r="Y177" s="60"/>
      <c r="Z177" s="60"/>
      <c r="AA177" s="60"/>
      <c r="AB177" s="60">
        <f>AB176/V173</f>
        <v>1.0859399821852807</v>
      </c>
      <c r="AC177" s="60"/>
      <c r="AD177" s="60"/>
      <c r="AE177" s="60"/>
      <c r="AF177" s="60"/>
      <c r="AG177" s="60">
        <f>AG176/AB176</f>
        <v>1.03429943849665</v>
      </c>
      <c r="AH177" s="60"/>
      <c r="AI177" s="60"/>
      <c r="AJ177" s="60"/>
      <c r="AK177" s="60"/>
      <c r="AL177" s="60">
        <f>AL176/AG176</f>
        <v>1.0265906534419724</v>
      </c>
      <c r="AM177" s="60"/>
      <c r="AN177" s="60"/>
      <c r="AO177" s="60"/>
      <c r="AP177" s="60"/>
      <c r="AQ177" s="61">
        <f>AQ176/AL176</f>
        <v>1.0843181396823645</v>
      </c>
      <c r="AU177" s="39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</row>
    <row r="178" spans="5:62" s="21" customFormat="1" ht="43.5" customHeight="1" outlineLevel="1" thickBot="1" x14ac:dyDescent="0.35">
      <c r="E178" s="432" t="s">
        <v>394</v>
      </c>
      <c r="F178" s="433" t="s">
        <v>552</v>
      </c>
      <c r="G178" s="434" t="s">
        <v>227</v>
      </c>
      <c r="H178" s="435"/>
      <c r="I178" s="436"/>
      <c r="J178" s="436"/>
      <c r="K178" s="436"/>
      <c r="L178" s="437"/>
      <c r="M178" s="435">
        <f>M173</f>
        <v>471.9691722948827</v>
      </c>
      <c r="N178" s="436"/>
      <c r="O178" s="437"/>
      <c r="P178" s="435">
        <f>P173</f>
        <v>491.60116355089531</v>
      </c>
      <c r="Q178" s="437"/>
      <c r="R178" s="435"/>
      <c r="S178" s="438"/>
      <c r="T178" s="436">
        <f>T173*1.05</f>
        <v>394.45051112100208</v>
      </c>
      <c r="U178" s="436">
        <f t="shared" ref="U178:V178" si="97">U173*1.05</f>
        <v>394.44840745486619</v>
      </c>
      <c r="V178" s="436">
        <f t="shared" si="97"/>
        <v>394.44840745486619</v>
      </c>
      <c r="W178" s="437"/>
      <c r="X178" s="438"/>
      <c r="Y178" s="436"/>
      <c r="Z178" s="436"/>
      <c r="AA178" s="436"/>
      <c r="AB178" s="457"/>
      <c r="AC178" s="436"/>
      <c r="AD178" s="436"/>
      <c r="AE178" s="436"/>
      <c r="AF178" s="436"/>
      <c r="AG178" s="457"/>
      <c r="AH178" s="436"/>
      <c r="AI178" s="436"/>
      <c r="AJ178" s="436"/>
      <c r="AK178" s="436"/>
      <c r="AL178" s="457"/>
      <c r="AM178" s="436"/>
      <c r="AN178" s="436"/>
      <c r="AO178" s="436"/>
      <c r="AP178" s="436"/>
      <c r="AQ178" s="458"/>
      <c r="AU178" s="39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</row>
    <row r="179" spans="5:62" s="21" customFormat="1" ht="22.5" hidden="1" customHeight="1" outlineLevel="1" x14ac:dyDescent="0.3">
      <c r="E179" s="303"/>
      <c r="F179" s="446" t="s">
        <v>392</v>
      </c>
      <c r="G179" s="396" t="s">
        <v>227</v>
      </c>
      <c r="H179" s="401"/>
      <c r="I179" s="398"/>
      <c r="J179" s="398"/>
      <c r="K179" s="398"/>
      <c r="L179" s="399"/>
      <c r="M179" s="401"/>
      <c r="N179" s="398"/>
      <c r="O179" s="399"/>
      <c r="P179" s="401"/>
      <c r="Q179" s="399"/>
      <c r="R179" s="401"/>
      <c r="S179" s="402"/>
      <c r="T179" s="398"/>
      <c r="U179" s="398"/>
      <c r="V179" s="398"/>
      <c r="W179" s="399">
        <f>T178</f>
        <v>394.45051112100208</v>
      </c>
      <c r="X179" s="402"/>
      <c r="Y179" s="398"/>
      <c r="Z179" s="398"/>
      <c r="AA179" s="398"/>
      <c r="AB179" s="398">
        <f>IF($AR$125=$F$6,ROUND(AB$175*1.2,2),AB$175)</f>
        <v>375.67</v>
      </c>
      <c r="AC179" s="398"/>
      <c r="AD179" s="398"/>
      <c r="AE179" s="398"/>
      <c r="AF179" s="398"/>
      <c r="AG179" s="398">
        <f>IF($AR$125=$F$6,ROUND(AG$175*1.2,2),AG$175)</f>
        <v>407.95</v>
      </c>
      <c r="AH179" s="398"/>
      <c r="AI179" s="398"/>
      <c r="AJ179" s="398"/>
      <c r="AK179" s="398"/>
      <c r="AL179" s="398">
        <f>IF($AR$125=$F$6,ROUND(AL$175*1.2,2),AL$175)</f>
        <v>421.94</v>
      </c>
      <c r="AM179" s="398"/>
      <c r="AN179" s="398"/>
      <c r="AO179" s="398"/>
      <c r="AP179" s="398"/>
      <c r="AQ179" s="399">
        <f>IF($AR$125=$F$6,ROUND(AQ$175*1.2,2),AQ$175)</f>
        <v>433.16</v>
      </c>
      <c r="AR179" s="38"/>
      <c r="AS179" s="39"/>
      <c r="AU179" s="39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</row>
    <row r="180" spans="5:62" s="21" customFormat="1" ht="22.5" hidden="1" customHeight="1" outlineLevel="1" x14ac:dyDescent="0.3">
      <c r="E180" s="303"/>
      <c r="F180" s="446" t="s">
        <v>393</v>
      </c>
      <c r="G180" s="396" t="s">
        <v>227</v>
      </c>
      <c r="H180" s="401"/>
      <c r="I180" s="398"/>
      <c r="J180" s="398"/>
      <c r="K180" s="398"/>
      <c r="L180" s="399"/>
      <c r="M180" s="401"/>
      <c r="N180" s="398"/>
      <c r="O180" s="399"/>
      <c r="P180" s="401"/>
      <c r="Q180" s="399"/>
      <c r="R180" s="401"/>
      <c r="S180" s="402"/>
      <c r="T180" s="398"/>
      <c r="U180" s="398"/>
      <c r="V180" s="398"/>
      <c r="W180" s="399">
        <f>U178</f>
        <v>394.44840745486619</v>
      </c>
      <c r="X180" s="402"/>
      <c r="Y180" s="398"/>
      <c r="Z180" s="398"/>
      <c r="AA180" s="398"/>
      <c r="AB180" s="398">
        <f>IF($AR$125=$F$6,ROUND(AB$176*1.2,2),AB$176)</f>
        <v>407.94980625195211</v>
      </c>
      <c r="AC180" s="398"/>
      <c r="AD180" s="398"/>
      <c r="AE180" s="398"/>
      <c r="AF180" s="398"/>
      <c r="AG180" s="398">
        <f>IF($AR$125=$F$6,ROUND(AG$176*1.2,2),AG$176)</f>
        <v>421.94225554121124</v>
      </c>
      <c r="AH180" s="398"/>
      <c r="AI180" s="398"/>
      <c r="AJ180" s="398"/>
      <c r="AK180" s="398"/>
      <c r="AL180" s="398">
        <f>IF($AR$125=$F$6,ROUND(AL$176*1.2,2),AL$176)</f>
        <v>433.16197583083175</v>
      </c>
      <c r="AM180" s="398"/>
      <c r="AN180" s="398"/>
      <c r="AO180" s="398"/>
      <c r="AP180" s="398"/>
      <c r="AQ180" s="399">
        <f>IF($AR$125=$F$6,ROUND(AQ$176*1.2,2),AQ$176)</f>
        <v>469.68538781402481</v>
      </c>
      <c r="AR180" s="38"/>
      <c r="AS180" s="39"/>
      <c r="AU180" s="39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</row>
    <row r="181" spans="5:62" s="21" customFormat="1" ht="30" hidden="1" customHeight="1" outlineLevel="1" thickBot="1" x14ac:dyDescent="0.35">
      <c r="E181" s="313"/>
      <c r="F181" s="447" t="s">
        <v>228</v>
      </c>
      <c r="G181" s="448" t="s">
        <v>24</v>
      </c>
      <c r="H181" s="449"/>
      <c r="I181" s="450"/>
      <c r="J181" s="450"/>
      <c r="K181" s="450"/>
      <c r="L181" s="451"/>
      <c r="M181" s="452"/>
      <c r="N181" s="60"/>
      <c r="O181" s="61"/>
      <c r="P181" s="452"/>
      <c r="Q181" s="61">
        <f>Q176/P176</f>
        <v>0</v>
      </c>
      <c r="R181" s="452"/>
      <c r="S181" s="456"/>
      <c r="T181" s="60">
        <f>T178/P178</f>
        <v>0.8023791243125582</v>
      </c>
      <c r="U181" s="60"/>
      <c r="V181" s="455">
        <f>V178/P178</f>
        <v>0.80237484509946455</v>
      </c>
      <c r="W181" s="61">
        <f>W180/W179</f>
        <v>0.99999466684393457</v>
      </c>
      <c r="X181" s="456"/>
      <c r="Y181" s="60"/>
      <c r="Z181" s="60"/>
      <c r="AA181" s="60"/>
      <c r="AB181" s="60">
        <f>AB180/V178</f>
        <v>1.0342285544621721</v>
      </c>
      <c r="AC181" s="60"/>
      <c r="AD181" s="60"/>
      <c r="AE181" s="60"/>
      <c r="AF181" s="60"/>
      <c r="AG181" s="60">
        <f>AG180/AB180</f>
        <v>1.03429943849665</v>
      </c>
      <c r="AH181" s="60"/>
      <c r="AI181" s="60"/>
      <c r="AJ181" s="60"/>
      <c r="AK181" s="60"/>
      <c r="AL181" s="60">
        <f>AL180/AG180</f>
        <v>1.0265906534419724</v>
      </c>
      <c r="AM181" s="60"/>
      <c r="AN181" s="60"/>
      <c r="AO181" s="60"/>
      <c r="AP181" s="60"/>
      <c r="AQ181" s="61">
        <f>AQ180/AL180</f>
        <v>1.0843181396823645</v>
      </c>
      <c r="AR181" s="38"/>
      <c r="AS181" s="39"/>
      <c r="AU181" s="39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</row>
    <row r="182" spans="5:62" s="21" customFormat="1" ht="22.5" customHeight="1" x14ac:dyDescent="0.3">
      <c r="E182" s="432"/>
      <c r="F182" s="459" t="s">
        <v>229</v>
      </c>
      <c r="G182" s="460"/>
      <c r="H182" s="461"/>
      <c r="I182" s="462"/>
      <c r="J182" s="462"/>
      <c r="K182" s="462"/>
      <c r="L182" s="463"/>
      <c r="M182" s="461"/>
      <c r="N182" s="462"/>
      <c r="O182" s="463"/>
      <c r="P182" s="461"/>
      <c r="Q182" s="463"/>
      <c r="R182" s="461"/>
      <c r="S182" s="464"/>
      <c r="T182" s="63"/>
      <c r="U182" s="63"/>
      <c r="V182" s="63"/>
      <c r="W182" s="463"/>
      <c r="X182" s="464"/>
      <c r="Y182" s="63"/>
      <c r="Z182" s="63"/>
      <c r="AA182" s="63"/>
      <c r="AB182" s="462"/>
      <c r="AC182" s="462"/>
      <c r="AD182" s="63"/>
      <c r="AE182" s="63"/>
      <c r="AF182" s="63"/>
      <c r="AG182" s="462"/>
      <c r="AH182" s="462"/>
      <c r="AI182" s="63"/>
      <c r="AJ182" s="63"/>
      <c r="AK182" s="63"/>
      <c r="AL182" s="462"/>
      <c r="AM182" s="462"/>
      <c r="AN182" s="63"/>
      <c r="AO182" s="63"/>
      <c r="AP182" s="63"/>
      <c r="AQ182" s="463"/>
      <c r="AR182" s="20"/>
      <c r="AS182" s="20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</row>
    <row r="183" spans="5:62" s="21" customFormat="1" ht="22.5" customHeight="1" x14ac:dyDescent="0.35">
      <c r="E183" s="303"/>
      <c r="F183" s="465" t="s">
        <v>230</v>
      </c>
      <c r="G183" s="369" t="s">
        <v>231</v>
      </c>
      <c r="H183" s="466"/>
      <c r="I183" s="467"/>
      <c r="J183" s="467"/>
      <c r="K183" s="467"/>
      <c r="L183" s="468"/>
      <c r="M183" s="469"/>
      <c r="N183" s="470"/>
      <c r="O183" s="471"/>
      <c r="P183" s="472"/>
      <c r="Q183" s="471"/>
      <c r="R183" s="472"/>
      <c r="S183" s="473"/>
      <c r="T183" s="62"/>
      <c r="U183" s="62"/>
      <c r="V183" s="474"/>
      <c r="W183" s="475">
        <v>5.8000000000000003E-2</v>
      </c>
      <c r="X183" s="473"/>
      <c r="Y183" s="62"/>
      <c r="Z183" s="62"/>
      <c r="AA183" s="476"/>
      <c r="AB183" s="474">
        <v>4.2999999999999997E-2</v>
      </c>
      <c r="AC183" s="474"/>
      <c r="AD183" s="62"/>
      <c r="AE183" s="62"/>
      <c r="AF183" s="476"/>
      <c r="AG183" s="474">
        <v>0.04</v>
      </c>
      <c r="AH183" s="474"/>
      <c r="AI183" s="62"/>
      <c r="AJ183" s="62"/>
      <c r="AK183" s="476"/>
      <c r="AL183" s="474">
        <v>0.04</v>
      </c>
      <c r="AM183" s="474"/>
      <c r="AN183" s="62"/>
      <c r="AO183" s="62"/>
      <c r="AP183" s="476"/>
      <c r="AQ183" s="477">
        <v>0.04</v>
      </c>
      <c r="AR183" s="20"/>
      <c r="AS183" s="20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</row>
    <row r="184" spans="5:62" s="21" customFormat="1" ht="26.25" hidden="1" customHeight="1" x14ac:dyDescent="0.35">
      <c r="E184" s="303"/>
      <c r="F184" s="465" t="s">
        <v>232</v>
      </c>
      <c r="G184" s="369" t="s">
        <v>231</v>
      </c>
      <c r="H184" s="466"/>
      <c r="I184" s="467"/>
      <c r="J184" s="467"/>
      <c r="K184" s="467"/>
      <c r="L184" s="468"/>
      <c r="M184" s="469"/>
      <c r="N184" s="470"/>
      <c r="O184" s="471"/>
      <c r="P184" s="469"/>
      <c r="Q184" s="471"/>
      <c r="R184" s="472"/>
      <c r="S184" s="473"/>
      <c r="T184" s="62"/>
      <c r="U184" s="62"/>
      <c r="V184" s="474"/>
      <c r="W184" s="475"/>
      <c r="X184" s="473"/>
      <c r="Y184" s="62"/>
      <c r="Z184" s="62"/>
      <c r="AA184" s="476"/>
      <c r="AB184" s="474"/>
      <c r="AC184" s="474"/>
      <c r="AD184" s="62"/>
      <c r="AE184" s="62"/>
      <c r="AF184" s="476"/>
      <c r="AG184" s="474"/>
      <c r="AH184" s="474"/>
      <c r="AI184" s="62"/>
      <c r="AJ184" s="62"/>
      <c r="AK184" s="476"/>
      <c r="AL184" s="474"/>
      <c r="AM184" s="474"/>
      <c r="AN184" s="62"/>
      <c r="AO184" s="62"/>
      <c r="AP184" s="476"/>
      <c r="AQ184" s="477"/>
      <c r="AR184" s="20"/>
      <c r="AS184" s="20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</row>
    <row r="185" spans="5:62" s="21" customFormat="1" ht="22.5" hidden="1" customHeight="1" x14ac:dyDescent="0.35">
      <c r="E185" s="303"/>
      <c r="F185" s="465" t="s">
        <v>233</v>
      </c>
      <c r="G185" s="369" t="s">
        <v>231</v>
      </c>
      <c r="H185" s="466"/>
      <c r="I185" s="467"/>
      <c r="J185" s="467"/>
      <c r="K185" s="467"/>
      <c r="L185" s="468"/>
      <c r="M185" s="469"/>
      <c r="N185" s="470"/>
      <c r="O185" s="471"/>
      <c r="P185" s="472"/>
      <c r="Q185" s="471"/>
      <c r="R185" s="472"/>
      <c r="S185" s="473"/>
      <c r="T185" s="62"/>
      <c r="U185" s="62"/>
      <c r="V185" s="474"/>
      <c r="W185" s="475">
        <v>7.1999999999999995E-2</v>
      </c>
      <c r="X185" s="473"/>
      <c r="Y185" s="62"/>
      <c r="Z185" s="62"/>
      <c r="AA185" s="476"/>
      <c r="AB185" s="474">
        <v>4.2000000000000003E-2</v>
      </c>
      <c r="AC185" s="474"/>
      <c r="AD185" s="62"/>
      <c r="AE185" s="62"/>
      <c r="AF185" s="476"/>
      <c r="AG185" s="474">
        <v>0.04</v>
      </c>
      <c r="AH185" s="474"/>
      <c r="AI185" s="62"/>
      <c r="AJ185" s="62"/>
      <c r="AK185" s="476"/>
      <c r="AL185" s="474">
        <v>0.04</v>
      </c>
      <c r="AM185" s="474"/>
      <c r="AN185" s="62"/>
      <c r="AO185" s="62"/>
      <c r="AP185" s="476"/>
      <c r="AQ185" s="477">
        <v>0.04</v>
      </c>
      <c r="AR185" s="20"/>
      <c r="AS185" s="20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</row>
    <row r="186" spans="5:62" s="21" customFormat="1" ht="22.5" customHeight="1" x14ac:dyDescent="0.35">
      <c r="E186" s="303"/>
      <c r="F186" s="465" t="s">
        <v>234</v>
      </c>
      <c r="G186" s="369" t="s">
        <v>231</v>
      </c>
      <c r="H186" s="466"/>
      <c r="I186" s="467"/>
      <c r="J186" s="467"/>
      <c r="K186" s="467"/>
      <c r="L186" s="468"/>
      <c r="M186" s="469"/>
      <c r="N186" s="470"/>
      <c r="O186" s="471"/>
      <c r="P186" s="472"/>
      <c r="Q186" s="471"/>
      <c r="R186" s="472"/>
      <c r="S186" s="473"/>
      <c r="T186" s="62"/>
      <c r="U186" s="62"/>
      <c r="V186" s="474"/>
      <c r="W186" s="475">
        <v>0.107</v>
      </c>
      <c r="X186" s="473"/>
      <c r="Y186" s="62"/>
      <c r="Z186" s="62"/>
      <c r="AA186" s="476"/>
      <c r="AB186" s="474">
        <v>8.7999999999999995E-2</v>
      </c>
      <c r="AC186" s="474"/>
      <c r="AD186" s="62"/>
      <c r="AE186" s="62"/>
      <c r="AF186" s="476"/>
      <c r="AG186" s="474">
        <v>5.1999999999999998E-2</v>
      </c>
      <c r="AH186" s="474"/>
      <c r="AI186" s="62"/>
      <c r="AJ186" s="62"/>
      <c r="AK186" s="476"/>
      <c r="AL186" s="474">
        <v>5.1999999999999998E-2</v>
      </c>
      <c r="AM186" s="474"/>
      <c r="AN186" s="62"/>
      <c r="AO186" s="62"/>
      <c r="AP186" s="476"/>
      <c r="AQ186" s="477">
        <v>5.1999999999999998E-2</v>
      </c>
      <c r="AR186" s="20"/>
      <c r="AS186" s="20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</row>
    <row r="187" spans="5:62" s="21" customFormat="1" ht="22.5" hidden="1" customHeight="1" x14ac:dyDescent="0.35">
      <c r="E187" s="303"/>
      <c r="F187" s="465" t="s">
        <v>235</v>
      </c>
      <c r="G187" s="369" t="s">
        <v>231</v>
      </c>
      <c r="H187" s="466"/>
      <c r="I187" s="467"/>
      <c r="J187" s="467"/>
      <c r="K187" s="467"/>
      <c r="L187" s="468"/>
      <c r="M187" s="469"/>
      <c r="N187" s="470"/>
      <c r="O187" s="471"/>
      <c r="P187" s="469"/>
      <c r="Q187" s="471"/>
      <c r="R187" s="472"/>
      <c r="S187" s="473"/>
      <c r="T187" s="62"/>
      <c r="U187" s="62"/>
      <c r="V187" s="478"/>
      <c r="W187" s="298"/>
      <c r="X187" s="473"/>
      <c r="Y187" s="62"/>
      <c r="Z187" s="62"/>
      <c r="AA187" s="476"/>
      <c r="AB187" s="474"/>
      <c r="AC187" s="474"/>
      <c r="AD187" s="62"/>
      <c r="AE187" s="62"/>
      <c r="AF187" s="476"/>
      <c r="AG187" s="474"/>
      <c r="AH187" s="474"/>
      <c r="AI187" s="62"/>
      <c r="AJ187" s="62"/>
      <c r="AK187" s="476"/>
      <c r="AL187" s="474"/>
      <c r="AM187" s="474"/>
      <c r="AN187" s="62"/>
      <c r="AO187" s="62"/>
      <c r="AP187" s="476"/>
      <c r="AQ187" s="477"/>
      <c r="AR187" s="20"/>
      <c r="AS187" s="20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</row>
    <row r="188" spans="5:62" s="21" customFormat="1" ht="22.5" hidden="1" customHeight="1" x14ac:dyDescent="0.35">
      <c r="E188" s="303"/>
      <c r="F188" s="465" t="s">
        <v>236</v>
      </c>
      <c r="G188" s="369" t="s">
        <v>231</v>
      </c>
      <c r="H188" s="466"/>
      <c r="I188" s="467"/>
      <c r="J188" s="467"/>
      <c r="K188" s="467"/>
      <c r="L188" s="468"/>
      <c r="M188" s="469"/>
      <c r="N188" s="470"/>
      <c r="O188" s="471"/>
      <c r="P188" s="469"/>
      <c r="Q188" s="471"/>
      <c r="R188" s="472"/>
      <c r="S188" s="473"/>
      <c r="T188" s="62"/>
      <c r="U188" s="62"/>
      <c r="V188" s="479"/>
      <c r="W188" s="298"/>
      <c r="X188" s="473"/>
      <c r="Y188" s="62"/>
      <c r="Z188" s="62"/>
      <c r="AA188" s="476"/>
      <c r="AB188" s="474"/>
      <c r="AC188" s="474"/>
      <c r="AD188" s="62"/>
      <c r="AE188" s="62"/>
      <c r="AF188" s="476"/>
      <c r="AG188" s="474"/>
      <c r="AH188" s="474"/>
      <c r="AI188" s="62"/>
      <c r="AJ188" s="62"/>
      <c r="AK188" s="476"/>
      <c r="AL188" s="474"/>
      <c r="AM188" s="474"/>
      <c r="AN188" s="62"/>
      <c r="AO188" s="62"/>
      <c r="AP188" s="476"/>
      <c r="AQ188" s="477"/>
      <c r="AR188" s="20"/>
      <c r="AS188" s="20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</row>
    <row r="189" spans="5:62" s="21" customFormat="1" ht="22.5" hidden="1" customHeight="1" x14ac:dyDescent="0.35">
      <c r="E189" s="303"/>
      <c r="F189" s="465" t="s">
        <v>237</v>
      </c>
      <c r="G189" s="369" t="s">
        <v>231</v>
      </c>
      <c r="H189" s="466"/>
      <c r="I189" s="467"/>
      <c r="J189" s="467"/>
      <c r="K189" s="467"/>
      <c r="L189" s="468"/>
      <c r="M189" s="469"/>
      <c r="N189" s="470"/>
      <c r="O189" s="471"/>
      <c r="P189" s="469"/>
      <c r="Q189" s="471"/>
      <c r="R189" s="472"/>
      <c r="S189" s="473"/>
      <c r="T189" s="62"/>
      <c r="U189" s="62"/>
      <c r="V189" s="479"/>
      <c r="W189" s="298"/>
      <c r="X189" s="473"/>
      <c r="Y189" s="62"/>
      <c r="Z189" s="62"/>
      <c r="AA189" s="476"/>
      <c r="AB189" s="474"/>
      <c r="AC189" s="474"/>
      <c r="AD189" s="62"/>
      <c r="AE189" s="62"/>
      <c r="AF189" s="476"/>
      <c r="AG189" s="474"/>
      <c r="AH189" s="474"/>
      <c r="AI189" s="62"/>
      <c r="AJ189" s="62"/>
      <c r="AK189" s="476"/>
      <c r="AL189" s="474"/>
      <c r="AM189" s="474"/>
      <c r="AN189" s="62"/>
      <c r="AO189" s="62"/>
      <c r="AP189" s="476"/>
      <c r="AQ189" s="477"/>
      <c r="AR189" s="20"/>
      <c r="AS189" s="20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</row>
    <row r="190" spans="5:62" s="21" customFormat="1" ht="22.5" hidden="1" customHeight="1" x14ac:dyDescent="0.35">
      <c r="E190" s="303"/>
      <c r="F190" s="465" t="s">
        <v>238</v>
      </c>
      <c r="G190" s="369" t="s">
        <v>231</v>
      </c>
      <c r="H190" s="466"/>
      <c r="I190" s="467"/>
      <c r="J190" s="467"/>
      <c r="K190" s="467"/>
      <c r="L190" s="468"/>
      <c r="M190" s="469"/>
      <c r="N190" s="470"/>
      <c r="O190" s="471"/>
      <c r="P190" s="469"/>
      <c r="Q190" s="471"/>
      <c r="R190" s="480"/>
      <c r="S190" s="481"/>
      <c r="T190" s="62"/>
      <c r="U190" s="62"/>
      <c r="V190" s="479"/>
      <c r="W190" s="298"/>
      <c r="X190" s="482"/>
      <c r="Y190" s="62"/>
      <c r="Z190" s="62"/>
      <c r="AA190" s="476"/>
      <c r="AB190" s="479">
        <f>0.75*AB192*AB193+IF(AB191=0,0,(AB191/((V25*(1-AB189/100%)*(1+AB183)))))</f>
        <v>0</v>
      </c>
      <c r="AC190" s="297"/>
      <c r="AD190" s="62"/>
      <c r="AE190" s="62"/>
      <c r="AF190" s="476"/>
      <c r="AG190" s="479">
        <f>0.75*AG192*AG193+IF(AG191=0,0,(AG191/((AA25*(1-AG189/100%)*(1+AG183)))))</f>
        <v>0</v>
      </c>
      <c r="AH190" s="297"/>
      <c r="AI190" s="62"/>
      <c r="AJ190" s="62"/>
      <c r="AK190" s="476"/>
      <c r="AL190" s="479">
        <f>0.75*AL192*AL193+IF(AL191=0,0,(AL191/((AF25*(1-AL189/100%)*(1+AL183)))))</f>
        <v>0</v>
      </c>
      <c r="AM190" s="297"/>
      <c r="AN190" s="62"/>
      <c r="AO190" s="62"/>
      <c r="AP190" s="476"/>
      <c r="AQ190" s="483">
        <f>0.75*AQ192*AQ193+IF(AQ191=0,0,(AQ191/((AK25*(1-AQ189/100%)*(1+AQ183)))))</f>
        <v>0</v>
      </c>
      <c r="AR190" s="20"/>
      <c r="AS190" s="20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</row>
    <row r="191" spans="5:62" s="21" customFormat="1" ht="51" hidden="1" customHeight="1" x14ac:dyDescent="0.35">
      <c r="E191" s="303"/>
      <c r="F191" s="465" t="s">
        <v>515</v>
      </c>
      <c r="G191" s="369" t="s">
        <v>24</v>
      </c>
      <c r="H191" s="466"/>
      <c r="I191" s="467"/>
      <c r="J191" s="467"/>
      <c r="K191" s="467"/>
      <c r="L191" s="468"/>
      <c r="M191" s="469"/>
      <c r="N191" s="470"/>
      <c r="O191" s="471"/>
      <c r="P191" s="469"/>
      <c r="Q191" s="471"/>
      <c r="R191" s="480"/>
      <c r="S191" s="481"/>
      <c r="T191" s="62"/>
      <c r="U191" s="62"/>
      <c r="V191" s="479"/>
      <c r="W191" s="298"/>
      <c r="X191" s="484"/>
      <c r="Y191" s="62"/>
      <c r="Z191" s="62"/>
      <c r="AA191" s="476"/>
      <c r="AB191" s="485">
        <f>(AB201/V201)-100%</f>
        <v>0</v>
      </c>
      <c r="AC191" s="486"/>
      <c r="AD191" s="62"/>
      <c r="AE191" s="62"/>
      <c r="AF191" s="476"/>
      <c r="AG191" s="485">
        <f>(AG201/AB201)-100%</f>
        <v>0</v>
      </c>
      <c r="AH191" s="486"/>
      <c r="AI191" s="62"/>
      <c r="AJ191" s="62"/>
      <c r="AK191" s="476"/>
      <c r="AL191" s="485">
        <f>(AL201/AG201)-100%</f>
        <v>0</v>
      </c>
      <c r="AM191" s="486"/>
      <c r="AN191" s="62"/>
      <c r="AO191" s="62"/>
      <c r="AP191" s="476"/>
      <c r="AQ191" s="487">
        <f>(AQ201/AL201)-100%</f>
        <v>0</v>
      </c>
      <c r="AR191" s="20"/>
      <c r="AS191" s="20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</row>
    <row r="192" spans="5:62" s="21" customFormat="1" ht="22.5" hidden="1" customHeight="1" x14ac:dyDescent="0.35">
      <c r="E192" s="303"/>
      <c r="F192" s="465" t="s">
        <v>239</v>
      </c>
      <c r="G192" s="369" t="s">
        <v>231</v>
      </c>
      <c r="H192" s="466"/>
      <c r="I192" s="467"/>
      <c r="J192" s="467"/>
      <c r="K192" s="467"/>
      <c r="L192" s="468"/>
      <c r="M192" s="469"/>
      <c r="N192" s="470"/>
      <c r="O192" s="471"/>
      <c r="P192" s="469"/>
      <c r="Q192" s="471"/>
      <c r="R192" s="480"/>
      <c r="S192" s="481"/>
      <c r="T192" s="62"/>
      <c r="U192" s="62"/>
      <c r="V192" s="479"/>
      <c r="W192" s="298"/>
      <c r="X192" s="481"/>
      <c r="Y192" s="62"/>
      <c r="Z192" s="62"/>
      <c r="AA192" s="476"/>
      <c r="AB192" s="479"/>
      <c r="AC192" s="479"/>
      <c r="AD192" s="62"/>
      <c r="AE192" s="62"/>
      <c r="AF192" s="476"/>
      <c r="AG192" s="479"/>
      <c r="AH192" s="479"/>
      <c r="AI192" s="62"/>
      <c r="AJ192" s="62"/>
      <c r="AK192" s="476"/>
      <c r="AL192" s="479"/>
      <c r="AM192" s="479"/>
      <c r="AN192" s="62"/>
      <c r="AO192" s="62"/>
      <c r="AP192" s="476"/>
      <c r="AQ192" s="483"/>
      <c r="AR192" s="20"/>
      <c r="AS192" s="20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</row>
    <row r="193" spans="5:62" s="21" customFormat="1" ht="22.5" hidden="1" customHeight="1" x14ac:dyDescent="0.35">
      <c r="E193" s="303"/>
      <c r="F193" s="465" t="s">
        <v>240</v>
      </c>
      <c r="G193" s="369" t="s">
        <v>106</v>
      </c>
      <c r="H193" s="466"/>
      <c r="I193" s="467"/>
      <c r="J193" s="467"/>
      <c r="K193" s="467"/>
      <c r="L193" s="468"/>
      <c r="M193" s="469"/>
      <c r="N193" s="470"/>
      <c r="O193" s="471"/>
      <c r="P193" s="469"/>
      <c r="Q193" s="471"/>
      <c r="R193" s="480"/>
      <c r="S193" s="481"/>
      <c r="T193" s="62"/>
      <c r="U193" s="62"/>
      <c r="V193" s="479"/>
      <c r="W193" s="298"/>
      <c r="X193" s="481"/>
      <c r="Y193" s="62"/>
      <c r="Z193" s="62"/>
      <c r="AA193" s="476"/>
      <c r="AB193" s="479"/>
      <c r="AC193" s="479"/>
      <c r="AD193" s="62"/>
      <c r="AE193" s="62"/>
      <c r="AF193" s="476"/>
      <c r="AG193" s="479"/>
      <c r="AH193" s="479"/>
      <c r="AI193" s="62"/>
      <c r="AJ193" s="62"/>
      <c r="AK193" s="476"/>
      <c r="AL193" s="479"/>
      <c r="AM193" s="479"/>
      <c r="AN193" s="62"/>
      <c r="AO193" s="62"/>
      <c r="AP193" s="476"/>
      <c r="AQ193" s="483"/>
      <c r="AR193" s="20"/>
      <c r="AS193" s="20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</row>
    <row r="194" spans="5:62" s="21" customFormat="1" ht="61.5" hidden="1" thickBot="1" x14ac:dyDescent="0.4">
      <c r="E194" s="313"/>
      <c r="F194" s="447" t="s">
        <v>241</v>
      </c>
      <c r="G194" s="488" t="s">
        <v>106</v>
      </c>
      <c r="H194" s="489"/>
      <c r="I194" s="490"/>
      <c r="J194" s="490"/>
      <c r="K194" s="490"/>
      <c r="L194" s="491"/>
      <c r="M194" s="492"/>
      <c r="N194" s="493"/>
      <c r="O194" s="494"/>
      <c r="P194" s="492"/>
      <c r="Q194" s="494"/>
      <c r="R194" s="492"/>
      <c r="S194" s="495"/>
      <c r="T194" s="496"/>
      <c r="U194" s="496"/>
      <c r="V194" s="493"/>
      <c r="W194" s="494"/>
      <c r="X194" s="495"/>
      <c r="Y194" s="496"/>
      <c r="Z194" s="496"/>
      <c r="AA194" s="497"/>
      <c r="AB194" s="493"/>
      <c r="AC194" s="493"/>
      <c r="AD194" s="496"/>
      <c r="AE194" s="496"/>
      <c r="AF194" s="497"/>
      <c r="AG194" s="493"/>
      <c r="AH194" s="493"/>
      <c r="AI194" s="496"/>
      <c r="AJ194" s="496"/>
      <c r="AK194" s="497"/>
      <c r="AL194" s="493"/>
      <c r="AM194" s="493"/>
      <c r="AN194" s="496"/>
      <c r="AO194" s="496"/>
      <c r="AP194" s="497"/>
      <c r="AQ194" s="494"/>
      <c r="AR194" s="20"/>
      <c r="AS194" s="20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</row>
    <row r="195" spans="5:62" s="21" customFormat="1" ht="22.5" customHeight="1" x14ac:dyDescent="0.35">
      <c r="E195" s="498"/>
      <c r="F195" s="499" t="s">
        <v>242</v>
      </c>
      <c r="G195" s="500"/>
      <c r="H195" s="501"/>
      <c r="I195" s="502"/>
      <c r="J195" s="502"/>
      <c r="K195" s="502"/>
      <c r="L195" s="503"/>
      <c r="M195" s="501"/>
      <c r="N195" s="502"/>
      <c r="O195" s="503"/>
      <c r="P195" s="501"/>
      <c r="Q195" s="503"/>
      <c r="R195" s="501"/>
      <c r="S195" s="504"/>
      <c r="T195" s="64"/>
      <c r="U195" s="64"/>
      <c r="V195" s="64"/>
      <c r="W195" s="503"/>
      <c r="X195" s="504"/>
      <c r="Y195" s="64"/>
      <c r="Z195" s="64"/>
      <c r="AA195" s="505"/>
      <c r="AB195" s="64"/>
      <c r="AC195" s="502"/>
      <c r="AD195" s="64"/>
      <c r="AE195" s="64"/>
      <c r="AF195" s="505"/>
      <c r="AG195" s="64"/>
      <c r="AH195" s="502"/>
      <c r="AI195" s="64"/>
      <c r="AJ195" s="64"/>
      <c r="AK195" s="505"/>
      <c r="AL195" s="64"/>
      <c r="AM195" s="502"/>
      <c r="AN195" s="64"/>
      <c r="AO195" s="64"/>
      <c r="AP195" s="505"/>
      <c r="AQ195" s="75"/>
      <c r="AR195" s="20"/>
      <c r="AS195" s="20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</row>
    <row r="196" spans="5:62" s="21" customFormat="1" ht="51" hidden="1" customHeight="1" x14ac:dyDescent="0.35">
      <c r="E196" s="303"/>
      <c r="F196" s="465" t="s">
        <v>411</v>
      </c>
      <c r="G196" s="369" t="s">
        <v>243</v>
      </c>
      <c r="H196" s="299">
        <f>(H98+H91+H84+H77+H105)/IF(H$17=0,H$22,H$17)</f>
        <v>0</v>
      </c>
      <c r="I196" s="297" t="e">
        <f>(I98+I91+I84+I77+I105)/IF(I$17=0,I$22,I$17)</f>
        <v>#DIV/0!</v>
      </c>
      <c r="J196" s="297" t="e">
        <f t="shared" ref="J196:R196" si="98">(J98+J91+J84+J77+J105)/IF(J$17=0,J$22,J$17)</f>
        <v>#DIV/0!</v>
      </c>
      <c r="K196" s="297" t="e">
        <f t="shared" si="98"/>
        <v>#DIV/0!</v>
      </c>
      <c r="L196" s="298" t="e">
        <f t="shared" si="98"/>
        <v>#DIV/0!</v>
      </c>
      <c r="M196" s="299">
        <f t="shared" si="98"/>
        <v>0</v>
      </c>
      <c r="N196" s="297">
        <f t="shared" si="98"/>
        <v>0</v>
      </c>
      <c r="O196" s="298">
        <f t="shared" si="98"/>
        <v>0</v>
      </c>
      <c r="P196" s="299">
        <f t="shared" si="98"/>
        <v>0</v>
      </c>
      <c r="Q196" s="298" t="e">
        <f t="shared" si="98"/>
        <v>#DIV/0!</v>
      </c>
      <c r="R196" s="299">
        <f t="shared" si="98"/>
        <v>0</v>
      </c>
      <c r="S196" s="482"/>
      <c r="T196" s="62"/>
      <c r="U196" s="62"/>
      <c r="V196" s="479">
        <f t="shared" ref="V196" si="99">(V98+V91+V84+V77+V105)/IF(V$17=0,V$22,V$17)</f>
        <v>0</v>
      </c>
      <c r="W196" s="298"/>
      <c r="X196" s="482"/>
      <c r="Y196" s="62"/>
      <c r="Z196" s="62"/>
      <c r="AA196" s="476"/>
      <c r="AB196" s="479">
        <f t="shared" ref="AB196" si="100">(AB98+AB91+AB84+AB77+AB105)/IF(AB$17=0,AB$22,AB$17)</f>
        <v>0</v>
      </c>
      <c r="AC196" s="297"/>
      <c r="AD196" s="62"/>
      <c r="AE196" s="62"/>
      <c r="AF196" s="476"/>
      <c r="AG196" s="479">
        <f t="shared" ref="AG196" si="101">(AG98+AG91+AG84+AG77+AG105)/IF(AG$17=0,AG$22,AG$17)</f>
        <v>0</v>
      </c>
      <c r="AH196" s="297"/>
      <c r="AI196" s="62"/>
      <c r="AJ196" s="62"/>
      <c r="AK196" s="476"/>
      <c r="AL196" s="479">
        <f t="shared" ref="AL196" si="102">(AL98+AL91+AL84+AL77+AL105)/IF(AL$17=0,AL$22,AL$17)</f>
        <v>0</v>
      </c>
      <c r="AM196" s="297"/>
      <c r="AN196" s="62"/>
      <c r="AO196" s="62"/>
      <c r="AP196" s="476"/>
      <c r="AQ196" s="483">
        <f t="shared" ref="AQ196" si="103">(AQ98+AQ91+AQ84+AQ77+AQ105)/IF(AQ$17=0,AQ$22,AQ$17)</f>
        <v>0</v>
      </c>
      <c r="AR196" s="20"/>
      <c r="AS196" s="20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</row>
    <row r="197" spans="5:62" s="21" customFormat="1" ht="22.5" hidden="1" customHeight="1" x14ac:dyDescent="0.35">
      <c r="E197" s="303"/>
      <c r="F197" s="465" t="s">
        <v>244</v>
      </c>
      <c r="G197" s="369" t="s">
        <v>245</v>
      </c>
      <c r="H197" s="299" t="e">
        <f>(H76+H83+H90+H97+H104)/(H77+H84+H91+H98+H105)</f>
        <v>#DIV/0!</v>
      </c>
      <c r="I197" s="297" t="e">
        <f t="shared" ref="I197:L197" si="104">(I76+I83+I90+I97+I104)/(I77+I84+I91+I98+I105)</f>
        <v>#DIV/0!</v>
      </c>
      <c r="J197" s="297" t="e">
        <f t="shared" si="104"/>
        <v>#DIV/0!</v>
      </c>
      <c r="K197" s="297" t="e">
        <f t="shared" si="104"/>
        <v>#DIV/0!</v>
      </c>
      <c r="L197" s="298" t="e">
        <f t="shared" si="104"/>
        <v>#DIV/0!</v>
      </c>
      <c r="M197" s="299" t="e">
        <f t="shared" ref="M197:R197" si="105">(M76+M83+M90+M97+M104)/(M77+M84+M91+M98+M105)</f>
        <v>#DIV/0!</v>
      </c>
      <c r="N197" s="297" t="e">
        <f t="shared" si="105"/>
        <v>#DIV/0!</v>
      </c>
      <c r="O197" s="298" t="e">
        <f t="shared" si="105"/>
        <v>#DIV/0!</v>
      </c>
      <c r="P197" s="299" t="e">
        <f t="shared" si="105"/>
        <v>#DIV/0!</v>
      </c>
      <c r="Q197" s="298" t="e">
        <f t="shared" si="105"/>
        <v>#DIV/0!</v>
      </c>
      <c r="R197" s="299" t="e">
        <f t="shared" si="105"/>
        <v>#DIV/0!</v>
      </c>
      <c r="S197" s="482"/>
      <c r="T197" s="62"/>
      <c r="U197" s="62"/>
      <c r="V197" s="479" t="e">
        <f>(V76+V83+V90+V97+V104)/(V77+V84+V91+V98+V105)</f>
        <v>#DIV/0!</v>
      </c>
      <c r="W197" s="298"/>
      <c r="X197" s="482"/>
      <c r="Y197" s="62"/>
      <c r="Z197" s="62"/>
      <c r="AA197" s="476"/>
      <c r="AB197" s="479" t="e">
        <f>(AB76+AB83+AB90+AB97+AB104)/(AB77+AB84+AB91+AB98+AB105)</f>
        <v>#DIV/0!</v>
      </c>
      <c r="AC197" s="297"/>
      <c r="AD197" s="62"/>
      <c r="AE197" s="62"/>
      <c r="AF197" s="476"/>
      <c r="AG197" s="479" t="e">
        <f>(AG76+AG83+AG90+AG97+AG104)/(AG77+AG84+AG91+AG98+AG105)</f>
        <v>#DIV/0!</v>
      </c>
      <c r="AH197" s="297"/>
      <c r="AI197" s="62"/>
      <c r="AJ197" s="62"/>
      <c r="AK197" s="476"/>
      <c r="AL197" s="479" t="e">
        <f>(AL76+AL83+AL90+AL97+AL104)/(AL77+AL84+AL91+AL98+AL105)</f>
        <v>#DIV/0!</v>
      </c>
      <c r="AM197" s="297"/>
      <c r="AN197" s="62"/>
      <c r="AO197" s="62"/>
      <c r="AP197" s="476"/>
      <c r="AQ197" s="483" t="e">
        <f>(AQ76+AQ83+AQ90+AQ97+AQ104)/(AQ77+AQ84+AQ91+AQ98+AQ105)</f>
        <v>#DIV/0!</v>
      </c>
      <c r="AR197" s="77" t="s">
        <v>419</v>
      </c>
      <c r="AS197" s="20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</row>
    <row r="198" spans="5:62" s="21" customFormat="1" ht="22.5" customHeight="1" x14ac:dyDescent="0.35">
      <c r="E198" s="303"/>
      <c r="F198" s="465" t="s">
        <v>194</v>
      </c>
      <c r="G198" s="369" t="s">
        <v>24</v>
      </c>
      <c r="H198" s="299">
        <v>0</v>
      </c>
      <c r="I198" s="297"/>
      <c r="J198" s="297"/>
      <c r="K198" s="297"/>
      <c r="L198" s="298"/>
      <c r="M198" s="299">
        <v>0</v>
      </c>
      <c r="N198" s="297"/>
      <c r="O198" s="298"/>
      <c r="P198" s="299">
        <v>0</v>
      </c>
      <c r="Q198" s="298"/>
      <c r="R198" s="299">
        <f>R150/(R25+R74+R111+R148)*100</f>
        <v>0</v>
      </c>
      <c r="S198" s="482"/>
      <c r="T198" s="62"/>
      <c r="U198" s="62"/>
      <c r="V198" s="479">
        <v>0</v>
      </c>
      <c r="W198" s="298">
        <v>0</v>
      </c>
      <c r="X198" s="482"/>
      <c r="Y198" s="62"/>
      <c r="Z198" s="62"/>
      <c r="AA198" s="476"/>
      <c r="AB198" s="479">
        <v>0</v>
      </c>
      <c r="AC198" s="297"/>
      <c r="AD198" s="62"/>
      <c r="AE198" s="62"/>
      <c r="AF198" s="476"/>
      <c r="AG198" s="479">
        <v>0</v>
      </c>
      <c r="AH198" s="297"/>
      <c r="AI198" s="62"/>
      <c r="AJ198" s="62"/>
      <c r="AK198" s="476"/>
      <c r="AL198" s="479">
        <v>0</v>
      </c>
      <c r="AM198" s="297"/>
      <c r="AN198" s="62"/>
      <c r="AO198" s="62"/>
      <c r="AP198" s="476"/>
      <c r="AQ198" s="483">
        <v>0</v>
      </c>
      <c r="AR198" s="20"/>
      <c r="AS198" s="20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</row>
    <row r="199" spans="5:62" s="33" customFormat="1" ht="22.5" customHeight="1" x14ac:dyDescent="0.35">
      <c r="E199" s="303"/>
      <c r="F199" s="465" t="s">
        <v>412</v>
      </c>
      <c r="G199" s="369" t="s">
        <v>246</v>
      </c>
      <c r="H199" s="466" t="s">
        <v>520</v>
      </c>
      <c r="I199" s="467" t="s">
        <v>520</v>
      </c>
      <c r="J199" s="467" t="s">
        <v>520</v>
      </c>
      <c r="K199" s="467" t="s">
        <v>520</v>
      </c>
      <c r="L199" s="468" t="s">
        <v>520</v>
      </c>
      <c r="M199" s="480" t="s">
        <v>520</v>
      </c>
      <c r="N199" s="479" t="s">
        <v>520</v>
      </c>
      <c r="O199" s="483" t="s">
        <v>520</v>
      </c>
      <c r="P199" s="480" t="s">
        <v>520</v>
      </c>
      <c r="Q199" s="483" t="s">
        <v>520</v>
      </c>
      <c r="R199" s="480" t="s">
        <v>520</v>
      </c>
      <c r="S199" s="481"/>
      <c r="T199" s="62"/>
      <c r="U199" s="62"/>
      <c r="V199" s="480"/>
      <c r="W199" s="298"/>
      <c r="X199" s="481"/>
      <c r="Y199" s="62"/>
      <c r="Z199" s="62"/>
      <c r="AA199" s="476"/>
      <c r="AB199" s="479"/>
      <c r="AC199" s="479"/>
      <c r="AD199" s="62"/>
      <c r="AE199" s="62"/>
      <c r="AF199" s="476"/>
      <c r="AG199" s="479"/>
      <c r="AH199" s="479"/>
      <c r="AI199" s="62"/>
      <c r="AJ199" s="62"/>
      <c r="AK199" s="476"/>
      <c r="AL199" s="479"/>
      <c r="AM199" s="479"/>
      <c r="AN199" s="62"/>
      <c r="AO199" s="62"/>
      <c r="AP199" s="476"/>
      <c r="AQ199" s="483"/>
      <c r="AR199" s="31"/>
      <c r="AS199" s="31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</row>
    <row r="200" spans="5:62" s="33" customFormat="1" ht="22.5" customHeight="1" x14ac:dyDescent="0.35">
      <c r="E200" s="303"/>
      <c r="F200" s="465" t="s">
        <v>413</v>
      </c>
      <c r="G200" s="369" t="s">
        <v>247</v>
      </c>
      <c r="H200" s="466" t="s">
        <v>520</v>
      </c>
      <c r="I200" s="467" t="s">
        <v>520</v>
      </c>
      <c r="J200" s="467" t="s">
        <v>520</v>
      </c>
      <c r="K200" s="467" t="s">
        <v>520</v>
      </c>
      <c r="L200" s="468" t="s">
        <v>520</v>
      </c>
      <c r="M200" s="480" t="s">
        <v>520</v>
      </c>
      <c r="N200" s="479" t="s">
        <v>520</v>
      </c>
      <c r="O200" s="483" t="s">
        <v>520</v>
      </c>
      <c r="P200" s="480" t="s">
        <v>520</v>
      </c>
      <c r="Q200" s="483" t="s">
        <v>520</v>
      </c>
      <c r="R200" s="480" t="s">
        <v>520</v>
      </c>
      <c r="S200" s="481"/>
      <c r="T200" s="62"/>
      <c r="U200" s="62"/>
      <c r="V200" s="479"/>
      <c r="W200" s="298"/>
      <c r="X200" s="481"/>
      <c r="Y200" s="62"/>
      <c r="Z200" s="62"/>
      <c r="AA200" s="476"/>
      <c r="AB200" s="479"/>
      <c r="AC200" s="479"/>
      <c r="AD200" s="62"/>
      <c r="AE200" s="62"/>
      <c r="AF200" s="476"/>
      <c r="AG200" s="479"/>
      <c r="AH200" s="479"/>
      <c r="AI200" s="62"/>
      <c r="AJ200" s="62"/>
      <c r="AK200" s="476"/>
      <c r="AL200" s="479"/>
      <c r="AM200" s="479"/>
      <c r="AN200" s="62"/>
      <c r="AO200" s="62"/>
      <c r="AP200" s="476"/>
      <c r="AQ200" s="483"/>
      <c r="AR200" s="31"/>
      <c r="AS200" s="31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</row>
    <row r="201" spans="5:62" s="33" customFormat="1" ht="22.5" customHeight="1" x14ac:dyDescent="0.3">
      <c r="E201" s="303"/>
      <c r="F201" s="465" t="s">
        <v>414</v>
      </c>
      <c r="G201" s="369" t="s">
        <v>248</v>
      </c>
      <c r="H201" s="466">
        <v>1.359</v>
      </c>
      <c r="I201" s="467">
        <v>1.359</v>
      </c>
      <c r="J201" s="467">
        <v>1.359</v>
      </c>
      <c r="K201" s="467">
        <v>1.359</v>
      </c>
      <c r="L201" s="468">
        <v>1.359</v>
      </c>
      <c r="M201" s="506">
        <v>1.359</v>
      </c>
      <c r="N201" s="507">
        <v>1.359</v>
      </c>
      <c r="O201" s="508">
        <v>1.359</v>
      </c>
      <c r="P201" s="506">
        <v>1.359</v>
      </c>
      <c r="Q201" s="508">
        <v>1.7</v>
      </c>
      <c r="R201" s="506">
        <v>1.359</v>
      </c>
      <c r="S201" s="509"/>
      <c r="T201" s="62"/>
      <c r="U201" s="62"/>
      <c r="V201" s="506">
        <v>1.359</v>
      </c>
      <c r="W201" s="506">
        <v>1.359</v>
      </c>
      <c r="X201" s="506">
        <v>1.359</v>
      </c>
      <c r="Y201" s="506">
        <v>1.359</v>
      </c>
      <c r="Z201" s="506">
        <v>1.359</v>
      </c>
      <c r="AA201" s="506">
        <v>1.359</v>
      </c>
      <c r="AB201" s="506">
        <v>1.359</v>
      </c>
      <c r="AC201" s="506">
        <v>1.359</v>
      </c>
      <c r="AD201" s="506">
        <v>1.359</v>
      </c>
      <c r="AE201" s="506">
        <v>1.359</v>
      </c>
      <c r="AF201" s="506">
        <v>1.359</v>
      </c>
      <c r="AG201" s="506">
        <v>1.359</v>
      </c>
      <c r="AH201" s="506">
        <v>1.359</v>
      </c>
      <c r="AI201" s="506">
        <v>1.359</v>
      </c>
      <c r="AJ201" s="506">
        <v>1.359</v>
      </c>
      <c r="AK201" s="506">
        <v>1.359</v>
      </c>
      <c r="AL201" s="506">
        <v>1.359</v>
      </c>
      <c r="AM201" s="506">
        <v>1.359</v>
      </c>
      <c r="AN201" s="506">
        <v>1.359</v>
      </c>
      <c r="AO201" s="506">
        <v>1.359</v>
      </c>
      <c r="AP201" s="506">
        <v>1.359</v>
      </c>
      <c r="AQ201" s="506">
        <v>1.359</v>
      </c>
      <c r="AR201" s="31"/>
      <c r="AS201" s="31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</row>
    <row r="202" spans="5:62" s="21" customFormat="1" ht="23.25" x14ac:dyDescent="0.35">
      <c r="E202" s="415"/>
      <c r="F202" s="510" t="s">
        <v>249</v>
      </c>
      <c r="G202" s="511"/>
      <c r="H202" s="512"/>
      <c r="I202" s="513"/>
      <c r="J202" s="513"/>
      <c r="K202" s="513"/>
      <c r="L202" s="514"/>
      <c r="M202" s="515"/>
      <c r="N202" s="476"/>
      <c r="O202" s="295">
        <f>M173*O17</f>
        <v>478.82688436832728</v>
      </c>
      <c r="P202" s="515"/>
      <c r="Q202" s="516"/>
      <c r="R202" s="515"/>
      <c r="S202" s="517"/>
      <c r="T202" s="476"/>
      <c r="U202" s="476"/>
      <c r="V202" s="476"/>
      <c r="W202" s="516"/>
      <c r="X202" s="517"/>
      <c r="Y202" s="476"/>
      <c r="Z202" s="476"/>
      <c r="AA202" s="476"/>
      <c r="AB202" s="476"/>
      <c r="AC202" s="476"/>
      <c r="AD202" s="476"/>
      <c r="AE202" s="476"/>
      <c r="AF202" s="476"/>
      <c r="AG202" s="476"/>
      <c r="AH202" s="476"/>
      <c r="AI202" s="476"/>
      <c r="AJ202" s="476"/>
      <c r="AK202" s="476"/>
      <c r="AL202" s="476"/>
      <c r="AM202" s="476"/>
      <c r="AN202" s="476"/>
      <c r="AO202" s="476"/>
      <c r="AP202" s="476"/>
      <c r="AQ202" s="516"/>
      <c r="AR202" s="20"/>
      <c r="AS202" s="20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</row>
    <row r="203" spans="5:62" s="21" customFormat="1" ht="41.25" outlineLevel="1" thickBot="1" x14ac:dyDescent="0.4">
      <c r="E203" s="518"/>
      <c r="F203" s="519" t="s">
        <v>250</v>
      </c>
      <c r="G203" s="520"/>
      <c r="H203" s="521"/>
      <c r="I203" s="522"/>
      <c r="J203" s="522"/>
      <c r="K203" s="522"/>
      <c r="L203" s="523"/>
      <c r="M203" s="521"/>
      <c r="N203" s="522"/>
      <c r="O203" s="318">
        <f>O172-O202</f>
        <v>-54.707538884939879</v>
      </c>
      <c r="P203" s="521"/>
      <c r="Q203" s="523"/>
      <c r="R203" s="521"/>
      <c r="S203" s="524"/>
      <c r="T203" s="522"/>
      <c r="U203" s="522"/>
      <c r="V203" s="522"/>
      <c r="W203" s="523"/>
      <c r="X203" s="524"/>
      <c r="Y203" s="522"/>
      <c r="Z203" s="522"/>
      <c r="AA203" s="497"/>
      <c r="AB203" s="522"/>
      <c r="AC203" s="497"/>
      <c r="AD203" s="497"/>
      <c r="AE203" s="497"/>
      <c r="AF203" s="497"/>
      <c r="AG203" s="525"/>
      <c r="AH203" s="497"/>
      <c r="AI203" s="497"/>
      <c r="AJ203" s="497"/>
      <c r="AK203" s="497"/>
      <c r="AL203" s="525"/>
      <c r="AM203" s="497"/>
      <c r="AN203" s="497"/>
      <c r="AO203" s="497"/>
      <c r="AP203" s="497"/>
      <c r="AQ203" s="526"/>
      <c r="AR203" s="20"/>
      <c r="AS203" s="20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</row>
    <row r="204" spans="5:62" s="21" customFormat="1" ht="18.75" outlineLevel="1" x14ac:dyDescent="0.3">
      <c r="E204" s="527"/>
      <c r="F204" s="528"/>
      <c r="G204" s="529"/>
      <c r="H204" s="529"/>
      <c r="I204" s="529"/>
      <c r="J204" s="529"/>
      <c r="K204" s="529"/>
      <c r="L204" s="529"/>
      <c r="M204" s="530"/>
      <c r="N204" s="530"/>
      <c r="O204" s="530"/>
      <c r="P204" s="530"/>
      <c r="Q204" s="530"/>
      <c r="R204" s="528"/>
      <c r="S204" s="528"/>
      <c r="T204" s="638"/>
      <c r="U204" s="638"/>
      <c r="V204" s="638"/>
      <c r="W204" s="638"/>
      <c r="X204" s="528"/>
      <c r="Y204" s="638"/>
      <c r="Z204" s="638"/>
      <c r="AA204" s="638"/>
      <c r="AB204" s="638"/>
      <c r="AC204" s="528"/>
      <c r="AD204" s="638"/>
      <c r="AE204" s="638"/>
      <c r="AF204" s="638"/>
      <c r="AG204" s="638"/>
      <c r="AH204" s="528"/>
      <c r="AI204" s="638"/>
      <c r="AJ204" s="638"/>
      <c r="AK204" s="638"/>
      <c r="AL204" s="638"/>
      <c r="AM204" s="528"/>
      <c r="AN204" s="638"/>
      <c r="AO204" s="638"/>
      <c r="AP204" s="638"/>
      <c r="AQ204" s="638"/>
      <c r="AR204" s="20"/>
      <c r="AS204" s="20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</row>
    <row r="205" spans="5:62" s="21" customFormat="1" ht="18.75" x14ac:dyDescent="0.3">
      <c r="E205" s="527"/>
      <c r="F205" s="528"/>
      <c r="G205" s="529"/>
      <c r="H205" s="529"/>
      <c r="I205" s="529"/>
      <c r="J205" s="529"/>
      <c r="K205" s="529"/>
      <c r="L205" s="529"/>
      <c r="M205" s="530"/>
      <c r="N205" s="530"/>
      <c r="O205" s="530"/>
      <c r="P205" s="530"/>
      <c r="Q205" s="530"/>
      <c r="R205" s="528"/>
      <c r="S205" s="528"/>
      <c r="T205" s="528"/>
      <c r="U205" s="528"/>
      <c r="V205" s="528"/>
      <c r="W205" s="528"/>
      <c r="X205" s="528"/>
      <c r="Y205" s="528"/>
      <c r="Z205" s="528"/>
      <c r="AA205" s="528"/>
      <c r="AB205" s="528"/>
      <c r="AC205" s="528"/>
      <c r="AD205" s="528"/>
      <c r="AE205" s="528"/>
      <c r="AF205" s="528"/>
      <c r="AG205" s="528"/>
      <c r="AH205" s="528"/>
      <c r="AI205" s="528"/>
      <c r="AJ205" s="528"/>
      <c r="AK205" s="528"/>
      <c r="AL205" s="528"/>
      <c r="AM205" s="528"/>
      <c r="AN205" s="528"/>
      <c r="AO205" s="528"/>
      <c r="AP205" s="528"/>
      <c r="AQ205" s="528"/>
      <c r="AR205" s="20"/>
      <c r="AS205" s="20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</row>
    <row r="206" spans="5:62" s="21" customFormat="1" ht="18.75" outlineLevel="1" x14ac:dyDescent="0.3">
      <c r="E206" s="527" t="s">
        <v>251</v>
      </c>
      <c r="F206" s="528"/>
      <c r="G206" s="527"/>
      <c r="H206" s="527"/>
      <c r="I206" s="527"/>
      <c r="J206" s="527"/>
      <c r="K206" s="527"/>
      <c r="L206" s="527"/>
      <c r="M206" s="528"/>
      <c r="N206" s="528"/>
      <c r="O206" s="528"/>
      <c r="P206" s="528"/>
      <c r="Q206" s="528"/>
      <c r="R206" s="531"/>
      <c r="S206" s="531"/>
      <c r="T206" s="638"/>
      <c r="U206" s="638"/>
      <c r="V206" s="639" t="s">
        <v>259</v>
      </c>
      <c r="W206" s="639"/>
      <c r="X206" s="639"/>
      <c r="Y206" s="639"/>
      <c r="Z206" s="639"/>
      <c r="AA206" s="639"/>
      <c r="AB206" s="639"/>
      <c r="AC206" s="531"/>
      <c r="AD206" s="638"/>
      <c r="AE206" s="638"/>
      <c r="AF206" s="639"/>
      <c r="AG206" s="639"/>
      <c r="AH206" s="531"/>
      <c r="AI206" s="638"/>
      <c r="AJ206" s="638"/>
      <c r="AK206" s="639"/>
      <c r="AL206" s="639"/>
      <c r="AM206" s="639"/>
      <c r="AN206" s="639"/>
      <c r="AO206" s="639"/>
      <c r="AP206" s="639"/>
      <c r="AQ206" s="639"/>
      <c r="AR206" s="20"/>
      <c r="AS206" s="20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</row>
    <row r="207" spans="5:62" s="21" customFormat="1" ht="14.25" customHeight="1" outlineLevel="1" x14ac:dyDescent="0.3">
      <c r="E207" s="121"/>
      <c r="F207" s="33"/>
      <c r="G207" s="120"/>
      <c r="H207" s="120"/>
      <c r="I207" s="120"/>
      <c r="J207" s="120"/>
      <c r="K207" s="120"/>
      <c r="L207" s="120"/>
      <c r="M207" s="33"/>
      <c r="N207" s="33"/>
      <c r="O207" s="33"/>
      <c r="P207" s="33"/>
      <c r="Q207" s="33"/>
      <c r="R207" s="189"/>
      <c r="S207" s="204"/>
      <c r="T207" s="634"/>
      <c r="U207" s="634"/>
      <c r="V207" s="634"/>
      <c r="W207" s="634"/>
      <c r="X207" s="33"/>
      <c r="Y207" s="634"/>
      <c r="Z207" s="634"/>
      <c r="AA207" s="634"/>
      <c r="AB207" s="634"/>
      <c r="AC207" s="33"/>
      <c r="AD207" s="634"/>
      <c r="AE207" s="634"/>
      <c r="AF207" s="634"/>
      <c r="AG207" s="634"/>
      <c r="AI207" s="637"/>
      <c r="AJ207" s="637"/>
      <c r="AK207" s="637"/>
      <c r="AL207" s="637"/>
      <c r="AN207" s="637"/>
      <c r="AO207" s="637"/>
      <c r="AP207" s="637"/>
      <c r="AQ207" s="637"/>
      <c r="AR207" s="20"/>
      <c r="AS207" s="20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</row>
    <row r="208" spans="5:62" s="41" customFormat="1" ht="23.25" x14ac:dyDescent="0.35">
      <c r="E208" s="122"/>
      <c r="F208" s="633" t="s">
        <v>252</v>
      </c>
      <c r="G208" s="633"/>
      <c r="H208" s="123"/>
      <c r="I208" s="123"/>
      <c r="J208" s="123"/>
      <c r="K208" s="123"/>
      <c r="L208" s="123"/>
      <c r="M208" s="124"/>
      <c r="N208" s="124"/>
      <c r="O208" s="124"/>
      <c r="P208" s="124"/>
      <c r="Q208" s="124"/>
      <c r="R208" s="190"/>
      <c r="S208" s="205"/>
      <c r="T208" s="124"/>
      <c r="U208" s="124"/>
      <c r="V208" s="124"/>
      <c r="W208" s="124"/>
      <c r="X208" s="124"/>
      <c r="Y208" s="124"/>
      <c r="Z208" s="124"/>
      <c r="AA208" s="124"/>
      <c r="AB208" s="125">
        <f>(AB172-AB175*(AB22/2))/(AB22/2)-AB176</f>
        <v>0</v>
      </c>
      <c r="AC208" s="124"/>
      <c r="AD208" s="124"/>
      <c r="AE208" s="124"/>
      <c r="AF208" s="125"/>
      <c r="AG208" s="125">
        <f>(AG172-AG175*(AG22/2))/(AG22/2)-AG176</f>
        <v>0</v>
      </c>
      <c r="AK208" s="42"/>
      <c r="AL208" s="42">
        <f>(AL172-AL175*(AL22/2))/(AL22/2)-AL176</f>
        <v>0</v>
      </c>
      <c r="AP208" s="42"/>
      <c r="AQ208" s="42">
        <f>(AQ172-AQ175*(AQ22/2))/(AQ22/2)-AQ176</f>
        <v>0</v>
      </c>
      <c r="AR208" s="43"/>
      <c r="AS208" s="43"/>
      <c r="AT208" s="40"/>
      <c r="AU208" s="40"/>
      <c r="AV208" s="40"/>
      <c r="AW208" s="40"/>
      <c r="AX208" s="40"/>
      <c r="AY208" s="40"/>
      <c r="AZ208" s="40"/>
      <c r="BA208" s="40"/>
      <c r="BB208" s="40"/>
      <c r="BC208" s="40"/>
      <c r="BD208" s="40"/>
      <c r="BE208" s="40"/>
      <c r="BF208" s="40"/>
      <c r="BG208" s="40"/>
      <c r="BH208" s="40"/>
      <c r="BI208" s="40"/>
      <c r="BJ208" s="40"/>
    </row>
    <row r="209" spans="5:62" s="45" customFormat="1" ht="23.25" x14ac:dyDescent="0.35">
      <c r="E209" s="122"/>
      <c r="F209" s="633" t="s">
        <v>253</v>
      </c>
      <c r="G209" s="633"/>
      <c r="H209" s="123"/>
      <c r="I209" s="123"/>
      <c r="J209" s="123"/>
      <c r="K209" s="123"/>
      <c r="L209" s="123"/>
      <c r="M209" s="124"/>
      <c r="N209" s="124"/>
      <c r="O209" s="124"/>
      <c r="P209" s="124"/>
      <c r="Q209" s="124"/>
      <c r="R209" s="190"/>
      <c r="S209" s="205"/>
      <c r="T209" s="124"/>
      <c r="U209" s="124"/>
      <c r="V209" s="124"/>
      <c r="W209" s="124"/>
      <c r="X209" s="124"/>
      <c r="Y209" s="124"/>
      <c r="Z209" s="124"/>
      <c r="AA209" s="124"/>
      <c r="AB209" s="126">
        <f>AB25/W25/0.99</f>
        <v>1.0429999999999997</v>
      </c>
      <c r="AC209" s="124"/>
      <c r="AD209" s="124"/>
      <c r="AE209" s="124"/>
      <c r="AF209" s="126"/>
      <c r="AG209" s="126">
        <f>AG25/AB25/0.99</f>
        <v>1.0400000000000003</v>
      </c>
      <c r="AK209" s="46"/>
      <c r="AL209" s="46">
        <f>AL25/AG25/0.99</f>
        <v>1.0399999999999998</v>
      </c>
      <c r="AP209" s="46"/>
      <c r="AQ209" s="46">
        <f>AQ25/AL25/0.99</f>
        <v>1.04</v>
      </c>
      <c r="AR209" s="47"/>
      <c r="AS209" s="47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</row>
    <row r="210" spans="5:62" s="49" customFormat="1" ht="23.25" x14ac:dyDescent="0.35">
      <c r="E210" s="122"/>
      <c r="F210" s="633" t="s">
        <v>254</v>
      </c>
      <c r="G210" s="633"/>
      <c r="H210" s="123"/>
      <c r="I210" s="123"/>
      <c r="J210" s="123"/>
      <c r="K210" s="123"/>
      <c r="L210" s="123"/>
      <c r="M210" s="124"/>
      <c r="N210" s="124"/>
      <c r="O210" s="124"/>
      <c r="P210" s="124"/>
      <c r="Q210" s="124"/>
      <c r="R210" s="190"/>
      <c r="S210" s="205"/>
      <c r="T210" s="124"/>
      <c r="U210" s="124"/>
      <c r="V210" s="124"/>
      <c r="W210" s="124"/>
      <c r="X210" s="124"/>
      <c r="Y210" s="124"/>
      <c r="Z210" s="124"/>
      <c r="AA210" s="124"/>
      <c r="AB210" s="126" t="e">
        <f>AB74/W74</f>
        <v>#DIV/0!</v>
      </c>
      <c r="AC210" s="124"/>
      <c r="AD210" s="124"/>
      <c r="AE210" s="124"/>
      <c r="AF210" s="126"/>
      <c r="AG210" s="126" t="e">
        <f>AG74/AB74</f>
        <v>#DIV/0!</v>
      </c>
      <c r="AK210" s="50"/>
      <c r="AL210" s="50" t="e">
        <f>AL74/AG74</f>
        <v>#DIV/0!</v>
      </c>
      <c r="AP210" s="50"/>
      <c r="AQ210" s="50" t="e">
        <f>AQ74/AL74</f>
        <v>#DIV/0!</v>
      </c>
      <c r="AR210" s="51"/>
      <c r="AS210" s="51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</row>
    <row r="211" spans="5:62" s="53" customFormat="1" ht="18.75" x14ac:dyDescent="0.3">
      <c r="E211" s="122"/>
      <c r="F211" s="124"/>
      <c r="G211" s="122"/>
      <c r="H211" s="122"/>
      <c r="I211" s="122"/>
      <c r="J211" s="122"/>
      <c r="K211" s="122"/>
      <c r="L211" s="122"/>
      <c r="M211" s="124"/>
      <c r="N211" s="124"/>
      <c r="O211" s="124"/>
      <c r="P211" s="124"/>
      <c r="Q211" s="124"/>
      <c r="R211" s="190"/>
      <c r="S211" s="205"/>
      <c r="T211" s="124"/>
      <c r="U211" s="124"/>
      <c r="V211" s="124"/>
      <c r="W211" s="124"/>
      <c r="X211" s="124"/>
      <c r="Y211" s="124"/>
      <c r="Z211" s="124"/>
      <c r="AA211" s="124"/>
      <c r="AB211" s="124"/>
      <c r="AC211" s="124"/>
      <c r="AD211" s="124"/>
      <c r="AE211" s="124"/>
      <c r="AF211" s="124"/>
      <c r="AG211" s="124"/>
      <c r="AR211" s="54"/>
      <c r="AS211" s="54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  <c r="BD211" s="52"/>
      <c r="BE211" s="52"/>
      <c r="BF211" s="52"/>
      <c r="BG211" s="52"/>
      <c r="BH211" s="52"/>
      <c r="BI211" s="52"/>
      <c r="BJ211" s="52"/>
    </row>
    <row r="212" spans="5:62" s="53" customFormat="1" ht="18.75" x14ac:dyDescent="0.3">
      <c r="E212" s="122"/>
      <c r="F212" s="124"/>
      <c r="G212" s="122"/>
      <c r="H212" s="122"/>
      <c r="I212" s="122"/>
      <c r="J212" s="122"/>
      <c r="K212" s="122"/>
      <c r="L212" s="122"/>
      <c r="M212" s="124"/>
      <c r="N212" s="124"/>
      <c r="O212" s="124"/>
      <c r="P212" s="124"/>
      <c r="Q212" s="124"/>
      <c r="R212" s="190"/>
      <c r="S212" s="205"/>
      <c r="T212" s="124"/>
      <c r="U212" s="124"/>
      <c r="V212" s="124"/>
      <c r="W212" s="124"/>
      <c r="X212" s="124"/>
      <c r="Y212" s="124"/>
      <c r="Z212" s="124"/>
      <c r="AA212" s="127"/>
      <c r="AB212" s="124"/>
      <c r="AC212" s="124"/>
      <c r="AD212" s="124"/>
      <c r="AE212" s="124"/>
      <c r="AF212" s="127"/>
      <c r="AG212" s="124"/>
      <c r="AK212" s="55"/>
      <c r="AP212" s="55"/>
      <c r="AR212" s="54"/>
      <c r="AS212" s="54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  <c r="BD212" s="52"/>
      <c r="BE212" s="52"/>
      <c r="BF212" s="52"/>
      <c r="BG212" s="52"/>
      <c r="BH212" s="52"/>
      <c r="BI212" s="52"/>
      <c r="BJ212" s="52"/>
    </row>
    <row r="213" spans="5:62" s="53" customFormat="1" ht="18.75" x14ac:dyDescent="0.3">
      <c r="E213" s="122"/>
      <c r="F213" s="124"/>
      <c r="G213" s="122"/>
      <c r="H213" s="122"/>
      <c r="I213" s="122"/>
      <c r="J213" s="122"/>
      <c r="K213" s="122"/>
      <c r="L213" s="122"/>
      <c r="M213" s="124"/>
      <c r="N213" s="124"/>
      <c r="O213" s="124"/>
      <c r="P213" s="124"/>
      <c r="Q213" s="124"/>
      <c r="R213" s="190"/>
      <c r="S213" s="205"/>
      <c r="T213" s="124"/>
      <c r="U213" s="124"/>
      <c r="V213" s="124"/>
      <c r="W213" s="124"/>
      <c r="X213" s="124"/>
      <c r="Y213" s="124"/>
      <c r="Z213" s="124"/>
      <c r="AA213" s="124"/>
      <c r="AB213" s="127"/>
      <c r="AC213" s="124"/>
      <c r="AD213" s="124"/>
      <c r="AE213" s="124"/>
      <c r="AF213" s="127"/>
      <c r="AG213" s="127"/>
      <c r="AK213" s="55"/>
      <c r="AL213" s="55"/>
      <c r="AP213" s="55"/>
      <c r="AQ213" s="55"/>
      <c r="AR213" s="54"/>
      <c r="AS213" s="54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  <c r="BD213" s="52"/>
      <c r="BE213" s="52"/>
      <c r="BF213" s="52"/>
      <c r="BG213" s="52"/>
      <c r="BH213" s="52"/>
      <c r="BI213" s="52"/>
      <c r="BJ213" s="52"/>
    </row>
    <row r="214" spans="5:62" s="53" customFormat="1" ht="18.75" x14ac:dyDescent="0.3">
      <c r="E214" s="122"/>
      <c r="F214" s="124"/>
      <c r="G214" s="122"/>
      <c r="H214" s="122"/>
      <c r="I214" s="122"/>
      <c r="J214" s="122"/>
      <c r="K214" s="122"/>
      <c r="L214" s="122"/>
      <c r="M214" s="124"/>
      <c r="N214" s="124"/>
      <c r="O214" s="124"/>
      <c r="P214" s="124"/>
      <c r="Q214" s="124"/>
      <c r="R214" s="190"/>
      <c r="S214" s="205"/>
      <c r="T214" s="124"/>
      <c r="U214" s="124"/>
      <c r="V214" s="124"/>
      <c r="W214" s="124"/>
      <c r="X214" s="124"/>
      <c r="Y214" s="124"/>
      <c r="Z214" s="124"/>
      <c r="AA214" s="124"/>
      <c r="AB214" s="127"/>
      <c r="AC214" s="124"/>
      <c r="AD214" s="124"/>
      <c r="AE214" s="124"/>
      <c r="AF214" s="124"/>
      <c r="AG214" s="127"/>
      <c r="AL214" s="55"/>
      <c r="AQ214" s="55"/>
      <c r="AR214" s="54"/>
      <c r="AS214" s="54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  <c r="BD214" s="52"/>
      <c r="BE214" s="52"/>
      <c r="BF214" s="52"/>
      <c r="BG214" s="52"/>
      <c r="BH214" s="52"/>
      <c r="BI214" s="52"/>
      <c r="BJ214" s="52"/>
    </row>
    <row r="215" spans="5:62" s="53" customFormat="1" ht="18.75" x14ac:dyDescent="0.3">
      <c r="E215" s="122"/>
      <c r="F215" s="124"/>
      <c r="G215" s="122"/>
      <c r="H215" s="122"/>
      <c r="I215" s="122"/>
      <c r="J215" s="122"/>
      <c r="K215" s="122"/>
      <c r="L215" s="122"/>
      <c r="M215" s="124"/>
      <c r="N215" s="124"/>
      <c r="O215" s="124"/>
      <c r="P215" s="124"/>
      <c r="Q215" s="124"/>
      <c r="R215" s="190"/>
      <c r="S215" s="205"/>
      <c r="T215" s="124"/>
      <c r="U215" s="124"/>
      <c r="V215" s="124"/>
      <c r="W215" s="124"/>
      <c r="X215" s="124"/>
      <c r="Y215" s="124"/>
      <c r="Z215" s="124"/>
      <c r="AA215" s="124"/>
      <c r="AB215" s="124"/>
      <c r="AC215" s="124"/>
      <c r="AD215" s="124"/>
      <c r="AE215" s="124"/>
      <c r="AF215" s="124"/>
      <c r="AG215" s="124"/>
      <c r="AR215" s="54"/>
      <c r="AS215" s="54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  <c r="BD215" s="52"/>
      <c r="BE215" s="52"/>
      <c r="BF215" s="52"/>
      <c r="BG215" s="52"/>
      <c r="BH215" s="52"/>
      <c r="BI215" s="52"/>
      <c r="BJ215" s="52"/>
    </row>
    <row r="216" spans="5:62" s="53" customFormat="1" ht="18.75" x14ac:dyDescent="0.3">
      <c r="E216" s="122"/>
      <c r="F216" s="124"/>
      <c r="G216" s="122"/>
      <c r="H216" s="122"/>
      <c r="I216" s="122"/>
      <c r="J216" s="122"/>
      <c r="K216" s="122"/>
      <c r="L216" s="122"/>
      <c r="M216" s="124"/>
      <c r="N216" s="124"/>
      <c r="O216" s="124"/>
      <c r="P216" s="124"/>
      <c r="Q216" s="124"/>
      <c r="R216" s="190"/>
      <c r="S216" s="205"/>
      <c r="T216" s="124"/>
      <c r="U216" s="124"/>
      <c r="V216" s="124"/>
      <c r="W216" s="124"/>
      <c r="X216" s="124"/>
      <c r="Y216" s="124"/>
      <c r="Z216" s="124"/>
      <c r="AA216" s="124"/>
      <c r="AB216" s="124"/>
      <c r="AC216" s="124"/>
      <c r="AD216" s="124"/>
      <c r="AE216" s="124"/>
      <c r="AF216" s="124"/>
      <c r="AG216" s="124"/>
      <c r="AR216" s="54"/>
      <c r="AS216" s="54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  <c r="BD216" s="52"/>
      <c r="BE216" s="52"/>
      <c r="BF216" s="52"/>
      <c r="BG216" s="52"/>
      <c r="BH216" s="52"/>
      <c r="BI216" s="52"/>
      <c r="BJ216" s="52"/>
    </row>
    <row r="217" spans="5:62" s="53" customFormat="1" ht="18.75" x14ac:dyDescent="0.3">
      <c r="E217" s="122"/>
      <c r="F217" s="124"/>
      <c r="G217" s="122"/>
      <c r="H217" s="122"/>
      <c r="I217" s="122"/>
      <c r="J217" s="122"/>
      <c r="K217" s="122"/>
      <c r="L217" s="122"/>
      <c r="M217" s="124"/>
      <c r="N217" s="124"/>
      <c r="O217" s="124"/>
      <c r="P217" s="124"/>
      <c r="Q217" s="124"/>
      <c r="R217" s="190"/>
      <c r="S217" s="205"/>
      <c r="T217" s="124"/>
      <c r="U217" s="124"/>
      <c r="V217" s="124"/>
      <c r="W217" s="124"/>
      <c r="X217" s="124"/>
      <c r="Y217" s="124"/>
      <c r="Z217" s="124"/>
      <c r="AA217" s="124"/>
      <c r="AB217" s="124"/>
      <c r="AC217" s="124"/>
      <c r="AD217" s="124"/>
      <c r="AE217" s="124"/>
      <c r="AF217" s="124"/>
      <c r="AG217" s="124"/>
      <c r="AR217" s="54"/>
      <c r="AS217" s="54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  <c r="BD217" s="52"/>
      <c r="BE217" s="52"/>
      <c r="BF217" s="52"/>
      <c r="BG217" s="52"/>
      <c r="BH217" s="52"/>
      <c r="BI217" s="52"/>
      <c r="BJ217" s="52"/>
    </row>
    <row r="218" spans="5:62" s="53" customFormat="1" ht="18.75" x14ac:dyDescent="0.3">
      <c r="E218" s="122"/>
      <c r="F218" s="124"/>
      <c r="G218" s="122"/>
      <c r="H218" s="122"/>
      <c r="I218" s="122"/>
      <c r="J218" s="122"/>
      <c r="K218" s="122"/>
      <c r="L218" s="122"/>
      <c r="M218" s="124"/>
      <c r="N218" s="124"/>
      <c r="O218" s="124"/>
      <c r="P218" s="124"/>
      <c r="Q218" s="124"/>
      <c r="R218" s="190"/>
      <c r="S218" s="205"/>
      <c r="T218" s="124"/>
      <c r="U218" s="124"/>
      <c r="V218" s="124"/>
      <c r="W218" s="124"/>
      <c r="X218" s="124"/>
      <c r="Y218" s="124"/>
      <c r="Z218" s="124"/>
      <c r="AA218" s="124"/>
      <c r="AB218" s="124"/>
      <c r="AC218" s="124"/>
      <c r="AD218" s="124"/>
      <c r="AE218" s="124"/>
      <c r="AF218" s="124"/>
      <c r="AG218" s="124"/>
      <c r="AR218" s="54"/>
      <c r="AS218" s="54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  <c r="BD218" s="52"/>
      <c r="BE218" s="52"/>
      <c r="BF218" s="52"/>
      <c r="BG218" s="52"/>
      <c r="BH218" s="52"/>
      <c r="BI218" s="52"/>
      <c r="BJ218" s="52"/>
    </row>
    <row r="219" spans="5:62" s="53" customFormat="1" ht="18.75" x14ac:dyDescent="0.3">
      <c r="E219" s="122"/>
      <c r="F219" s="124"/>
      <c r="G219" s="122"/>
      <c r="H219" s="122"/>
      <c r="I219" s="122"/>
      <c r="J219" s="122"/>
      <c r="K219" s="122"/>
      <c r="L219" s="122"/>
      <c r="M219" s="124"/>
      <c r="N219" s="124"/>
      <c r="O219" s="124"/>
      <c r="P219" s="124"/>
      <c r="Q219" s="124"/>
      <c r="R219" s="190"/>
      <c r="S219" s="205"/>
      <c r="T219" s="124"/>
      <c r="U219" s="124"/>
      <c r="V219" s="124"/>
      <c r="W219" s="124"/>
      <c r="X219" s="124"/>
      <c r="Y219" s="124"/>
      <c r="Z219" s="124"/>
      <c r="AA219" s="124"/>
      <c r="AB219" s="124"/>
      <c r="AC219" s="124"/>
      <c r="AD219" s="124"/>
      <c r="AE219" s="124"/>
      <c r="AF219" s="124"/>
      <c r="AG219" s="124"/>
      <c r="AR219" s="54"/>
      <c r="AS219" s="54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  <c r="BD219" s="52"/>
      <c r="BE219" s="52"/>
      <c r="BF219" s="52"/>
      <c r="BG219" s="52"/>
      <c r="BH219" s="52"/>
      <c r="BI219" s="52"/>
      <c r="BJ219" s="52"/>
    </row>
    <row r="220" spans="5:62" s="53" customFormat="1" ht="18.75" x14ac:dyDescent="0.3">
      <c r="E220" s="122"/>
      <c r="F220" s="124"/>
      <c r="G220" s="122"/>
      <c r="H220" s="122"/>
      <c r="I220" s="122"/>
      <c r="J220" s="122"/>
      <c r="K220" s="122"/>
      <c r="L220" s="122"/>
      <c r="M220" s="124"/>
      <c r="N220" s="124"/>
      <c r="O220" s="124"/>
      <c r="P220" s="124"/>
      <c r="Q220" s="124"/>
      <c r="R220" s="190"/>
      <c r="S220" s="205"/>
      <c r="T220" s="124"/>
      <c r="U220" s="124"/>
      <c r="V220" s="124"/>
      <c r="W220" s="124"/>
      <c r="X220" s="124"/>
      <c r="Y220" s="124"/>
      <c r="Z220" s="124"/>
      <c r="AA220" s="124"/>
      <c r="AB220" s="124"/>
      <c r="AC220" s="124"/>
      <c r="AD220" s="124"/>
      <c r="AE220" s="124"/>
      <c r="AF220" s="124"/>
      <c r="AG220" s="124"/>
      <c r="AR220" s="54"/>
      <c r="AS220" s="54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  <c r="BD220" s="52"/>
      <c r="BE220" s="52"/>
      <c r="BF220" s="52"/>
      <c r="BG220" s="52"/>
      <c r="BH220" s="52"/>
      <c r="BI220" s="52"/>
      <c r="BJ220" s="52"/>
    </row>
    <row r="221" spans="5:62" s="53" customFormat="1" ht="18.75" x14ac:dyDescent="0.3">
      <c r="E221" s="122"/>
      <c r="F221" s="124"/>
      <c r="G221" s="122"/>
      <c r="H221" s="122"/>
      <c r="I221" s="122"/>
      <c r="J221" s="122"/>
      <c r="K221" s="122"/>
      <c r="L221" s="122"/>
      <c r="M221" s="124"/>
      <c r="N221" s="124"/>
      <c r="O221" s="124"/>
      <c r="P221" s="124"/>
      <c r="Q221" s="124"/>
      <c r="R221" s="190"/>
      <c r="S221" s="205"/>
      <c r="T221" s="124"/>
      <c r="U221" s="124"/>
      <c r="V221" s="124"/>
      <c r="W221" s="124"/>
      <c r="X221" s="124"/>
      <c r="Y221" s="124"/>
      <c r="Z221" s="124"/>
      <c r="AA221" s="124"/>
      <c r="AB221" s="124"/>
      <c r="AC221" s="124"/>
      <c r="AD221" s="124"/>
      <c r="AE221" s="124"/>
      <c r="AF221" s="124"/>
      <c r="AG221" s="124"/>
      <c r="AR221" s="54"/>
      <c r="AS221" s="54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  <c r="BD221" s="52"/>
      <c r="BE221" s="52"/>
      <c r="BF221" s="52"/>
      <c r="BG221" s="52"/>
      <c r="BH221" s="52"/>
      <c r="BI221" s="52"/>
      <c r="BJ221" s="52"/>
    </row>
    <row r="222" spans="5:62" s="53" customFormat="1" ht="18.75" x14ac:dyDescent="0.3">
      <c r="E222" s="122"/>
      <c r="F222" s="124"/>
      <c r="G222" s="122"/>
      <c r="H222" s="122"/>
      <c r="I222" s="122"/>
      <c r="J222" s="122"/>
      <c r="K222" s="122"/>
      <c r="L222" s="122"/>
      <c r="M222" s="124"/>
      <c r="N222" s="124"/>
      <c r="O222" s="124"/>
      <c r="P222" s="124"/>
      <c r="Q222" s="124"/>
      <c r="R222" s="190"/>
      <c r="S222" s="205"/>
      <c r="T222" s="124"/>
      <c r="U222" s="124"/>
      <c r="V222" s="124"/>
      <c r="W222" s="124"/>
      <c r="X222" s="124"/>
      <c r="Y222" s="124"/>
      <c r="Z222" s="124"/>
      <c r="AA222" s="124"/>
      <c r="AB222" s="124"/>
      <c r="AC222" s="124"/>
      <c r="AD222" s="124"/>
      <c r="AE222" s="124"/>
      <c r="AF222" s="124"/>
      <c r="AG222" s="124"/>
      <c r="AR222" s="54"/>
      <c r="AS222" s="54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  <c r="BD222" s="52"/>
      <c r="BE222" s="52"/>
      <c r="BF222" s="52"/>
      <c r="BG222" s="52"/>
      <c r="BH222" s="52"/>
      <c r="BI222" s="52"/>
      <c r="BJ222" s="52"/>
    </row>
    <row r="223" spans="5:62" s="53" customFormat="1" ht="18.75" x14ac:dyDescent="0.3">
      <c r="E223" s="122"/>
      <c r="F223" s="124"/>
      <c r="G223" s="122"/>
      <c r="H223" s="122"/>
      <c r="I223" s="122"/>
      <c r="J223" s="122"/>
      <c r="K223" s="122"/>
      <c r="L223" s="122"/>
      <c r="M223" s="124"/>
      <c r="N223" s="124"/>
      <c r="O223" s="124"/>
      <c r="P223" s="124"/>
      <c r="Q223" s="124"/>
      <c r="R223" s="190"/>
      <c r="S223" s="205"/>
      <c r="T223" s="124"/>
      <c r="U223" s="124"/>
      <c r="V223" s="124"/>
      <c r="W223" s="124"/>
      <c r="X223" s="124"/>
      <c r="Y223" s="124"/>
      <c r="Z223" s="124"/>
      <c r="AA223" s="124"/>
      <c r="AB223" s="124"/>
      <c r="AC223" s="124"/>
      <c r="AD223" s="124"/>
      <c r="AE223" s="124"/>
      <c r="AF223" s="124"/>
      <c r="AG223" s="124"/>
      <c r="AR223" s="54"/>
      <c r="AS223" s="54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  <c r="BD223" s="52"/>
      <c r="BE223" s="52"/>
      <c r="BF223" s="52"/>
      <c r="BG223" s="52"/>
      <c r="BH223" s="52"/>
      <c r="BI223" s="52"/>
      <c r="BJ223" s="52"/>
    </row>
    <row r="224" spans="5:62" s="53" customFormat="1" ht="18.75" x14ac:dyDescent="0.3">
      <c r="E224" s="122"/>
      <c r="F224" s="124"/>
      <c r="G224" s="122"/>
      <c r="H224" s="122"/>
      <c r="I224" s="122"/>
      <c r="J224" s="122"/>
      <c r="K224" s="122"/>
      <c r="L224" s="122"/>
      <c r="M224" s="124"/>
      <c r="N224" s="124"/>
      <c r="O224" s="124"/>
      <c r="P224" s="124"/>
      <c r="Q224" s="124"/>
      <c r="R224" s="190"/>
      <c r="S224" s="205"/>
      <c r="T224" s="124"/>
      <c r="U224" s="124"/>
      <c r="V224" s="124"/>
      <c r="W224" s="124"/>
      <c r="X224" s="124"/>
      <c r="Y224" s="124"/>
      <c r="Z224" s="124"/>
      <c r="AA224" s="124"/>
      <c r="AB224" s="124"/>
      <c r="AC224" s="124"/>
      <c r="AD224" s="124"/>
      <c r="AE224" s="124"/>
      <c r="AF224" s="124"/>
      <c r="AG224" s="124"/>
      <c r="AR224" s="54"/>
      <c r="AS224" s="54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  <c r="BD224" s="52"/>
      <c r="BE224" s="52"/>
      <c r="BF224" s="52"/>
      <c r="BG224" s="52"/>
      <c r="BH224" s="52"/>
      <c r="BI224" s="52"/>
      <c r="BJ224" s="52"/>
    </row>
    <row r="225" spans="5:62" s="53" customFormat="1" ht="18.75" x14ac:dyDescent="0.3">
      <c r="E225" s="122"/>
      <c r="F225" s="124"/>
      <c r="G225" s="122"/>
      <c r="H225" s="122"/>
      <c r="I225" s="122"/>
      <c r="J225" s="122"/>
      <c r="K225" s="122"/>
      <c r="L225" s="122"/>
      <c r="M225" s="124"/>
      <c r="N225" s="124"/>
      <c r="O225" s="124"/>
      <c r="P225" s="124"/>
      <c r="Q225" s="124"/>
      <c r="R225" s="190"/>
      <c r="S225" s="205"/>
      <c r="T225" s="124"/>
      <c r="U225" s="124"/>
      <c r="V225" s="124"/>
      <c r="W225" s="124"/>
      <c r="X225" s="124"/>
      <c r="Y225" s="124"/>
      <c r="Z225" s="124"/>
      <c r="AA225" s="124"/>
      <c r="AB225" s="124"/>
      <c r="AC225" s="124"/>
      <c r="AD225" s="124"/>
      <c r="AE225" s="124"/>
      <c r="AF225" s="124"/>
      <c r="AG225" s="124"/>
      <c r="AR225" s="54"/>
      <c r="AS225" s="54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  <c r="BD225" s="52"/>
      <c r="BE225" s="52"/>
      <c r="BF225" s="52"/>
      <c r="BG225" s="52"/>
      <c r="BH225" s="52"/>
      <c r="BI225" s="52"/>
      <c r="BJ225" s="52"/>
    </row>
    <row r="226" spans="5:62" s="53" customFormat="1" ht="18.75" x14ac:dyDescent="0.3">
      <c r="E226" s="122"/>
      <c r="F226" s="124"/>
      <c r="G226" s="122"/>
      <c r="H226" s="122"/>
      <c r="I226" s="122"/>
      <c r="J226" s="122"/>
      <c r="K226" s="122"/>
      <c r="L226" s="122"/>
      <c r="M226" s="124"/>
      <c r="N226" s="124"/>
      <c r="O226" s="124"/>
      <c r="P226" s="124"/>
      <c r="Q226" s="124"/>
      <c r="R226" s="190"/>
      <c r="S226" s="205"/>
      <c r="T226" s="124"/>
      <c r="U226" s="124"/>
      <c r="V226" s="124"/>
      <c r="W226" s="124"/>
      <c r="X226" s="124"/>
      <c r="Y226" s="124"/>
      <c r="Z226" s="124"/>
      <c r="AA226" s="124"/>
      <c r="AB226" s="124"/>
      <c r="AC226" s="124"/>
      <c r="AD226" s="124"/>
      <c r="AE226" s="124"/>
      <c r="AF226" s="124"/>
      <c r="AG226" s="124"/>
      <c r="AR226" s="54"/>
      <c r="AS226" s="54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  <c r="BD226" s="52"/>
      <c r="BE226" s="52"/>
      <c r="BF226" s="52"/>
      <c r="BG226" s="52"/>
      <c r="BH226" s="52"/>
      <c r="BI226" s="52"/>
      <c r="BJ226" s="52"/>
    </row>
    <row r="227" spans="5:62" s="53" customFormat="1" ht="18.75" x14ac:dyDescent="0.3">
      <c r="E227" s="122"/>
      <c r="F227" s="124"/>
      <c r="G227" s="122"/>
      <c r="H227" s="122"/>
      <c r="I227" s="122"/>
      <c r="J227" s="122"/>
      <c r="K227" s="122"/>
      <c r="L227" s="122"/>
      <c r="M227" s="124"/>
      <c r="N227" s="124"/>
      <c r="O227" s="124"/>
      <c r="P227" s="124"/>
      <c r="Q227" s="124"/>
      <c r="R227" s="190"/>
      <c r="S227" s="205"/>
      <c r="T227" s="124"/>
      <c r="U227" s="124"/>
      <c r="V227" s="124"/>
      <c r="W227" s="124"/>
      <c r="X227" s="124"/>
      <c r="Y227" s="124"/>
      <c r="Z227" s="124"/>
      <c r="AA227" s="124"/>
      <c r="AB227" s="124"/>
      <c r="AC227" s="124"/>
      <c r="AD227" s="124"/>
      <c r="AE227" s="124"/>
      <c r="AF227" s="124"/>
      <c r="AG227" s="124"/>
      <c r="AR227" s="54"/>
      <c r="AS227" s="54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  <c r="BD227" s="52"/>
      <c r="BE227" s="52"/>
      <c r="BF227" s="52"/>
      <c r="BG227" s="52"/>
      <c r="BH227" s="52"/>
      <c r="BI227" s="52"/>
      <c r="BJ227" s="52"/>
    </row>
    <row r="228" spans="5:62" s="53" customFormat="1" ht="18.75" x14ac:dyDescent="0.3">
      <c r="E228" s="122"/>
      <c r="F228" s="124"/>
      <c r="G228" s="122"/>
      <c r="H228" s="122"/>
      <c r="I228" s="122"/>
      <c r="J228" s="122"/>
      <c r="K228" s="122"/>
      <c r="L228" s="122"/>
      <c r="M228" s="124"/>
      <c r="N228" s="124"/>
      <c r="O228" s="124"/>
      <c r="P228" s="124"/>
      <c r="Q228" s="124"/>
      <c r="R228" s="190"/>
      <c r="S228" s="205"/>
      <c r="T228" s="124"/>
      <c r="U228" s="124"/>
      <c r="V228" s="124"/>
      <c r="W228" s="124"/>
      <c r="X228" s="124"/>
      <c r="Y228" s="124"/>
      <c r="Z228" s="124"/>
      <c r="AA228" s="124"/>
      <c r="AB228" s="124"/>
      <c r="AC228" s="124"/>
      <c r="AD228" s="124"/>
      <c r="AE228" s="124"/>
      <c r="AF228" s="124"/>
      <c r="AG228" s="124"/>
      <c r="AR228" s="54"/>
      <c r="AS228" s="54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  <c r="BD228" s="52"/>
      <c r="BE228" s="52"/>
      <c r="BF228" s="52"/>
      <c r="BG228" s="52"/>
      <c r="BH228" s="52"/>
      <c r="BI228" s="52"/>
      <c r="BJ228" s="52"/>
    </row>
    <row r="229" spans="5:62" s="53" customFormat="1" ht="18.75" x14ac:dyDescent="0.3">
      <c r="E229" s="122"/>
      <c r="F229" s="124"/>
      <c r="G229" s="122"/>
      <c r="H229" s="122"/>
      <c r="I229" s="122"/>
      <c r="J229" s="122"/>
      <c r="K229" s="122"/>
      <c r="L229" s="122"/>
      <c r="M229" s="124"/>
      <c r="N229" s="124"/>
      <c r="O229" s="124"/>
      <c r="P229" s="124"/>
      <c r="Q229" s="124"/>
      <c r="R229" s="190"/>
      <c r="S229" s="205"/>
      <c r="T229" s="124"/>
      <c r="U229" s="124"/>
      <c r="V229" s="124"/>
      <c r="W229" s="124"/>
      <c r="X229" s="124"/>
      <c r="Y229" s="124"/>
      <c r="Z229" s="124"/>
      <c r="AA229" s="124"/>
      <c r="AB229" s="124"/>
      <c r="AC229" s="124"/>
      <c r="AD229" s="124"/>
      <c r="AE229" s="124"/>
      <c r="AF229" s="124"/>
      <c r="AG229" s="124"/>
      <c r="AR229" s="54"/>
      <c r="AS229" s="54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  <c r="BD229" s="52"/>
      <c r="BE229" s="52"/>
      <c r="BF229" s="52"/>
      <c r="BG229" s="52"/>
      <c r="BH229" s="52"/>
      <c r="BI229" s="52"/>
      <c r="BJ229" s="52"/>
    </row>
    <row r="230" spans="5:62" s="53" customFormat="1" ht="18.75" x14ac:dyDescent="0.3">
      <c r="E230" s="122"/>
      <c r="F230" s="124"/>
      <c r="G230" s="122"/>
      <c r="H230" s="122"/>
      <c r="I230" s="122"/>
      <c r="J230" s="122"/>
      <c r="K230" s="122"/>
      <c r="L230" s="122"/>
      <c r="M230" s="124"/>
      <c r="N230" s="124"/>
      <c r="O230" s="124"/>
      <c r="P230" s="124"/>
      <c r="Q230" s="124"/>
      <c r="R230" s="190"/>
      <c r="S230" s="205"/>
      <c r="T230" s="124"/>
      <c r="U230" s="124"/>
      <c r="V230" s="124"/>
      <c r="W230" s="124"/>
      <c r="X230" s="124"/>
      <c r="Y230" s="124"/>
      <c r="Z230" s="124"/>
      <c r="AA230" s="124"/>
      <c r="AB230" s="124"/>
      <c r="AC230" s="124"/>
      <c r="AD230" s="124"/>
      <c r="AE230" s="124"/>
      <c r="AF230" s="124"/>
      <c r="AG230" s="124"/>
      <c r="AR230" s="54"/>
      <c r="AS230" s="54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  <c r="BD230" s="52"/>
      <c r="BE230" s="52"/>
      <c r="BF230" s="52"/>
      <c r="BG230" s="52"/>
      <c r="BH230" s="52"/>
      <c r="BI230" s="52"/>
      <c r="BJ230" s="52"/>
    </row>
    <row r="231" spans="5:62" s="53" customFormat="1" ht="18.75" x14ac:dyDescent="0.3">
      <c r="E231" s="122"/>
      <c r="F231" s="124"/>
      <c r="G231" s="122"/>
      <c r="H231" s="122"/>
      <c r="I231" s="122"/>
      <c r="J231" s="122"/>
      <c r="K231" s="122"/>
      <c r="L231" s="122"/>
      <c r="M231" s="124"/>
      <c r="N231" s="124"/>
      <c r="O231" s="124"/>
      <c r="P231" s="124"/>
      <c r="Q231" s="124"/>
      <c r="R231" s="190"/>
      <c r="S231" s="205"/>
      <c r="T231" s="124"/>
      <c r="U231" s="124"/>
      <c r="V231" s="124"/>
      <c r="W231" s="124"/>
      <c r="X231" s="124"/>
      <c r="Y231" s="124"/>
      <c r="Z231" s="124"/>
      <c r="AA231" s="124"/>
      <c r="AB231" s="124"/>
      <c r="AC231" s="124"/>
      <c r="AD231" s="124"/>
      <c r="AE231" s="124"/>
      <c r="AF231" s="124"/>
      <c r="AG231" s="124"/>
      <c r="AR231" s="54"/>
      <c r="AS231" s="54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2"/>
      <c r="BF231" s="52"/>
      <c r="BG231" s="52"/>
      <c r="BH231" s="52"/>
      <c r="BI231" s="52"/>
      <c r="BJ231" s="52"/>
    </row>
    <row r="232" spans="5:62" s="53" customFormat="1" ht="15" hidden="1" customHeight="1" x14ac:dyDescent="0.3">
      <c r="E232" s="122"/>
      <c r="F232" s="124"/>
      <c r="G232" s="122"/>
      <c r="H232" s="122"/>
      <c r="I232" s="122"/>
      <c r="J232" s="122"/>
      <c r="K232" s="122"/>
      <c r="L232" s="122"/>
      <c r="M232" s="124"/>
      <c r="N232" s="124"/>
      <c r="O232" s="124"/>
      <c r="P232" s="124"/>
      <c r="Q232" s="124"/>
      <c r="R232" s="190"/>
      <c r="S232" s="205"/>
      <c r="T232" s="124"/>
      <c r="U232" s="124"/>
      <c r="V232" s="124"/>
      <c r="W232" s="124"/>
      <c r="X232" s="124"/>
      <c r="Y232" s="124"/>
      <c r="Z232" s="124"/>
      <c r="AA232" s="124"/>
      <c r="AB232" s="124"/>
      <c r="AC232" s="124"/>
      <c r="AD232" s="124"/>
      <c r="AE232" s="124"/>
      <c r="AF232" s="124"/>
      <c r="AG232" s="124"/>
      <c r="AR232" s="54"/>
      <c r="AS232" s="54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  <c r="BD232" s="52"/>
      <c r="BE232" s="52"/>
      <c r="BF232" s="52"/>
      <c r="BG232" s="52"/>
      <c r="BH232" s="52"/>
      <c r="BI232" s="52"/>
      <c r="BJ232" s="52"/>
    </row>
    <row r="233" spans="5:62" s="57" customFormat="1" ht="15" hidden="1" customHeight="1" x14ac:dyDescent="0.3">
      <c r="E233" s="128"/>
      <c r="F233" s="129" t="s">
        <v>255</v>
      </c>
      <c r="G233" s="128"/>
      <c r="H233" s="128"/>
      <c r="I233" s="128"/>
      <c r="J233" s="128"/>
      <c r="K233" s="128"/>
      <c r="L233" s="128"/>
      <c r="M233" s="130"/>
      <c r="N233" s="130"/>
      <c r="O233" s="130"/>
      <c r="P233" s="130"/>
      <c r="Q233" s="130"/>
      <c r="R233" s="191"/>
      <c r="S233" s="206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R233" s="58"/>
      <c r="AS233" s="58"/>
      <c r="AT233" s="56"/>
      <c r="AU233" s="56"/>
      <c r="AV233" s="56"/>
      <c r="AW233" s="56"/>
      <c r="AX233" s="56"/>
      <c r="AY233" s="56"/>
      <c r="AZ233" s="56"/>
      <c r="BA233" s="56"/>
      <c r="BB233" s="56"/>
      <c r="BC233" s="56"/>
      <c r="BD233" s="56"/>
      <c r="BE233" s="56"/>
      <c r="BF233" s="56"/>
      <c r="BG233" s="56"/>
      <c r="BH233" s="56"/>
      <c r="BI233" s="56"/>
      <c r="BJ233" s="56"/>
    </row>
    <row r="234" spans="5:62" s="57" customFormat="1" ht="15" hidden="1" customHeight="1" x14ac:dyDescent="0.3">
      <c r="E234" s="128"/>
      <c r="F234" s="129" t="s">
        <v>256</v>
      </c>
      <c r="G234" s="128"/>
      <c r="H234" s="128"/>
      <c r="I234" s="128"/>
      <c r="J234" s="128"/>
      <c r="K234" s="128"/>
      <c r="L234" s="128"/>
      <c r="M234" s="130"/>
      <c r="N234" s="130"/>
      <c r="O234" s="130"/>
      <c r="P234" s="130"/>
      <c r="Q234" s="130"/>
      <c r="R234" s="191"/>
      <c r="S234" s="206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R234" s="58"/>
      <c r="AS234" s="58"/>
      <c r="AT234" s="56"/>
      <c r="AU234" s="56"/>
      <c r="AV234" s="56"/>
      <c r="AW234" s="56"/>
      <c r="AX234" s="56"/>
      <c r="AY234" s="56"/>
      <c r="AZ234" s="56"/>
      <c r="BA234" s="56"/>
      <c r="BB234" s="56"/>
      <c r="BC234" s="56"/>
      <c r="BD234" s="56"/>
      <c r="BE234" s="56"/>
      <c r="BF234" s="56"/>
      <c r="BG234" s="56"/>
      <c r="BH234" s="56"/>
      <c r="BI234" s="56"/>
      <c r="BJ234" s="56"/>
    </row>
    <row r="235" spans="5:62" s="57" customFormat="1" ht="15" hidden="1" customHeight="1" x14ac:dyDescent="0.3">
      <c r="E235" s="128"/>
      <c r="F235" s="129" t="s">
        <v>257</v>
      </c>
      <c r="G235" s="128"/>
      <c r="H235" s="128"/>
      <c r="I235" s="128"/>
      <c r="J235" s="128"/>
      <c r="K235" s="128"/>
      <c r="L235" s="128"/>
      <c r="M235" s="130"/>
      <c r="N235" s="130"/>
      <c r="O235" s="130"/>
      <c r="P235" s="130"/>
      <c r="Q235" s="130"/>
      <c r="R235" s="191"/>
      <c r="S235" s="206"/>
      <c r="T235" s="130"/>
      <c r="U235" s="130"/>
      <c r="V235" s="130"/>
      <c r="W235" s="130"/>
      <c r="X235" s="130"/>
      <c r="Y235" s="130"/>
      <c r="Z235" s="130"/>
      <c r="AA235" s="130"/>
      <c r="AB235" s="130"/>
      <c r="AC235" s="130"/>
      <c r="AD235" s="130"/>
      <c r="AE235" s="130"/>
      <c r="AF235" s="130"/>
      <c r="AG235" s="130"/>
      <c r="AR235" s="58"/>
      <c r="AS235" s="58"/>
      <c r="AT235" s="56"/>
      <c r="AU235" s="56"/>
      <c r="AV235" s="56"/>
      <c r="AW235" s="56"/>
      <c r="AX235" s="56"/>
      <c r="AY235" s="56"/>
      <c r="AZ235" s="56"/>
      <c r="BA235" s="56"/>
      <c r="BB235" s="56"/>
      <c r="BC235" s="56"/>
      <c r="BD235" s="56"/>
      <c r="BE235" s="56"/>
      <c r="BF235" s="56"/>
      <c r="BG235" s="56"/>
      <c r="BH235" s="56"/>
      <c r="BI235" s="56"/>
      <c r="BJ235" s="56"/>
    </row>
    <row r="236" spans="5:62" s="57" customFormat="1" ht="15" hidden="1" customHeight="1" x14ac:dyDescent="0.3">
      <c r="E236" s="128"/>
      <c r="F236" s="129" t="s">
        <v>258</v>
      </c>
      <c r="G236" s="128"/>
      <c r="H236" s="128"/>
      <c r="I236" s="128"/>
      <c r="J236" s="128"/>
      <c r="K236" s="128"/>
      <c r="L236" s="128"/>
      <c r="M236" s="130"/>
      <c r="N236" s="130"/>
      <c r="O236" s="130"/>
      <c r="P236" s="130"/>
      <c r="Q236" s="130"/>
      <c r="R236" s="191"/>
      <c r="S236" s="206"/>
      <c r="T236" s="130"/>
      <c r="U236" s="130"/>
      <c r="V236" s="130"/>
      <c r="W236" s="130"/>
      <c r="X236" s="130"/>
      <c r="Y236" s="130"/>
      <c r="Z236" s="130"/>
      <c r="AA236" s="130"/>
      <c r="AB236" s="130"/>
      <c r="AC236" s="130"/>
      <c r="AD236" s="130"/>
      <c r="AE236" s="130"/>
      <c r="AF236" s="130"/>
      <c r="AG236" s="130"/>
      <c r="AR236" s="58"/>
      <c r="AS236" s="58"/>
      <c r="AT236" s="56"/>
      <c r="AU236" s="56"/>
      <c r="AV236" s="56"/>
      <c r="AW236" s="56"/>
      <c r="AX236" s="56"/>
      <c r="AY236" s="56"/>
      <c r="AZ236" s="56"/>
      <c r="BA236" s="56"/>
      <c r="BB236" s="56"/>
      <c r="BC236" s="56"/>
      <c r="BD236" s="56"/>
      <c r="BE236" s="56"/>
      <c r="BF236" s="56"/>
      <c r="BG236" s="56"/>
      <c r="BH236" s="56"/>
      <c r="BI236" s="56"/>
      <c r="BJ236" s="56"/>
    </row>
    <row r="237" spans="5:62" s="57" customFormat="1" ht="15" hidden="1" customHeight="1" x14ac:dyDescent="0.3">
      <c r="E237" s="128"/>
      <c r="F237" s="129" t="s">
        <v>259</v>
      </c>
      <c r="G237" s="128"/>
      <c r="H237" s="128"/>
      <c r="I237" s="128"/>
      <c r="J237" s="128"/>
      <c r="K237" s="128"/>
      <c r="L237" s="128"/>
      <c r="M237" s="130"/>
      <c r="N237" s="130"/>
      <c r="O237" s="130"/>
      <c r="P237" s="130"/>
      <c r="Q237" s="130"/>
      <c r="R237" s="191"/>
      <c r="S237" s="206"/>
      <c r="T237" s="130"/>
      <c r="U237" s="130"/>
      <c r="V237" s="130"/>
      <c r="W237" s="130"/>
      <c r="X237" s="130"/>
      <c r="Y237" s="130"/>
      <c r="Z237" s="130"/>
      <c r="AA237" s="130"/>
      <c r="AB237" s="130"/>
      <c r="AC237" s="130"/>
      <c r="AD237" s="130"/>
      <c r="AE237" s="130"/>
      <c r="AF237" s="130"/>
      <c r="AG237" s="130"/>
      <c r="AR237" s="58"/>
      <c r="AS237" s="58"/>
      <c r="AT237" s="56"/>
      <c r="AU237" s="56"/>
      <c r="AV237" s="56"/>
      <c r="AW237" s="56"/>
      <c r="AX237" s="56"/>
      <c r="AY237" s="56"/>
      <c r="AZ237" s="56"/>
      <c r="BA237" s="56"/>
      <c r="BB237" s="56"/>
      <c r="BC237" s="56"/>
      <c r="BD237" s="56"/>
      <c r="BE237" s="56"/>
      <c r="BF237" s="56"/>
      <c r="BG237" s="56"/>
      <c r="BH237" s="56"/>
      <c r="BI237" s="56"/>
      <c r="BJ237" s="56"/>
    </row>
    <row r="238" spans="5:62" s="57" customFormat="1" ht="15" hidden="1" customHeight="1" x14ac:dyDescent="0.3">
      <c r="E238" s="128"/>
      <c r="F238" s="129" t="s">
        <v>260</v>
      </c>
      <c r="G238" s="128"/>
      <c r="H238" s="128"/>
      <c r="I238" s="128"/>
      <c r="J238" s="128"/>
      <c r="K238" s="128"/>
      <c r="L238" s="128"/>
      <c r="M238" s="130"/>
      <c r="N238" s="130"/>
      <c r="O238" s="130"/>
      <c r="P238" s="130"/>
      <c r="Q238" s="130"/>
      <c r="R238" s="191"/>
      <c r="S238" s="206"/>
      <c r="T238" s="130"/>
      <c r="U238" s="130"/>
      <c r="V238" s="130"/>
      <c r="W238" s="130"/>
      <c r="X238" s="130"/>
      <c r="Y238" s="130"/>
      <c r="Z238" s="130"/>
      <c r="AA238" s="130"/>
      <c r="AB238" s="130"/>
      <c r="AC238" s="130"/>
      <c r="AD238" s="130"/>
      <c r="AE238" s="130"/>
      <c r="AF238" s="130"/>
      <c r="AG238" s="130"/>
      <c r="AR238" s="58"/>
      <c r="AS238" s="58"/>
      <c r="AT238" s="56"/>
      <c r="AU238" s="56"/>
      <c r="AV238" s="56"/>
      <c r="AW238" s="56"/>
      <c r="AX238" s="56"/>
      <c r="AY238" s="56"/>
      <c r="AZ238" s="56"/>
      <c r="BA238" s="56"/>
      <c r="BB238" s="56"/>
      <c r="BC238" s="56"/>
      <c r="BD238" s="56"/>
      <c r="BE238" s="56"/>
      <c r="BF238" s="56"/>
      <c r="BG238" s="56"/>
      <c r="BH238" s="56"/>
      <c r="BI238" s="56"/>
      <c r="BJ238" s="56"/>
    </row>
    <row r="239" spans="5:62" s="57" customFormat="1" ht="15" hidden="1" customHeight="1" x14ac:dyDescent="0.3">
      <c r="E239" s="128"/>
      <c r="F239" s="129" t="s">
        <v>261</v>
      </c>
      <c r="G239" s="128"/>
      <c r="H239" s="128"/>
      <c r="I239" s="128"/>
      <c r="J239" s="128"/>
      <c r="K239" s="128"/>
      <c r="L239" s="128"/>
      <c r="M239" s="130"/>
      <c r="N239" s="130"/>
      <c r="O239" s="130"/>
      <c r="P239" s="130"/>
      <c r="Q239" s="130"/>
      <c r="R239" s="191"/>
      <c r="S239" s="206"/>
      <c r="T239" s="130"/>
      <c r="U239" s="130"/>
      <c r="V239" s="130"/>
      <c r="W239" s="130"/>
      <c r="X239" s="130"/>
      <c r="Y239" s="130"/>
      <c r="Z239" s="130"/>
      <c r="AA239" s="130"/>
      <c r="AB239" s="130"/>
      <c r="AC239" s="130"/>
      <c r="AD239" s="130"/>
      <c r="AE239" s="130"/>
      <c r="AF239" s="130"/>
      <c r="AG239" s="130"/>
      <c r="AR239" s="58"/>
      <c r="AS239" s="58"/>
      <c r="AT239" s="56"/>
      <c r="AU239" s="56"/>
      <c r="AV239" s="56"/>
      <c r="AW239" s="56"/>
      <c r="AX239" s="56"/>
      <c r="AY239" s="56"/>
      <c r="AZ239" s="56"/>
      <c r="BA239" s="56"/>
      <c r="BB239" s="56"/>
      <c r="BC239" s="56"/>
      <c r="BD239" s="56"/>
      <c r="BE239" s="56"/>
      <c r="BF239" s="56"/>
      <c r="BG239" s="56"/>
      <c r="BH239" s="56"/>
      <c r="BI239" s="56"/>
      <c r="BJ239" s="56"/>
    </row>
    <row r="240" spans="5:62" s="57" customFormat="1" ht="15" hidden="1" customHeight="1" x14ac:dyDescent="0.3">
      <c r="E240" s="128"/>
      <c r="F240" s="129" t="s">
        <v>262</v>
      </c>
      <c r="G240" s="128"/>
      <c r="H240" s="128"/>
      <c r="I240" s="128"/>
      <c r="J240" s="128"/>
      <c r="K240" s="128"/>
      <c r="L240" s="128"/>
      <c r="M240" s="130"/>
      <c r="N240" s="130"/>
      <c r="O240" s="130"/>
      <c r="P240" s="130"/>
      <c r="Q240" s="130"/>
      <c r="R240" s="191"/>
      <c r="S240" s="206"/>
      <c r="T240" s="130"/>
      <c r="U240" s="130"/>
      <c r="V240" s="130"/>
      <c r="W240" s="130"/>
      <c r="X240" s="130"/>
      <c r="Y240" s="130"/>
      <c r="Z240" s="130"/>
      <c r="AA240" s="130"/>
      <c r="AB240" s="130"/>
      <c r="AC240" s="130"/>
      <c r="AD240" s="130"/>
      <c r="AE240" s="130"/>
      <c r="AF240" s="130"/>
      <c r="AG240" s="130"/>
      <c r="AR240" s="58"/>
      <c r="AS240" s="58"/>
      <c r="AT240" s="56"/>
      <c r="AU240" s="56"/>
      <c r="AV240" s="56"/>
      <c r="AW240" s="56"/>
      <c r="AX240" s="56"/>
      <c r="AY240" s="56"/>
      <c r="AZ240" s="56"/>
      <c r="BA240" s="56"/>
      <c r="BB240" s="56"/>
      <c r="BC240" s="56"/>
      <c r="BD240" s="56"/>
      <c r="BE240" s="56"/>
      <c r="BF240" s="56"/>
      <c r="BG240" s="56"/>
      <c r="BH240" s="56"/>
      <c r="BI240" s="56"/>
      <c r="BJ240" s="56"/>
    </row>
    <row r="241" spans="5:62" s="57" customFormat="1" ht="15" hidden="1" customHeight="1" x14ac:dyDescent="0.3">
      <c r="E241" s="128"/>
      <c r="F241" s="129" t="s">
        <v>263</v>
      </c>
      <c r="G241" s="128"/>
      <c r="H241" s="128"/>
      <c r="I241" s="128"/>
      <c r="J241" s="128"/>
      <c r="K241" s="128"/>
      <c r="L241" s="128"/>
      <c r="M241" s="130"/>
      <c r="N241" s="130"/>
      <c r="O241" s="130"/>
      <c r="P241" s="130"/>
      <c r="Q241" s="130"/>
      <c r="R241" s="191"/>
      <c r="S241" s="206"/>
      <c r="T241" s="130"/>
      <c r="U241" s="130"/>
      <c r="V241" s="130"/>
      <c r="W241" s="130"/>
      <c r="X241" s="130"/>
      <c r="Y241" s="130"/>
      <c r="Z241" s="130"/>
      <c r="AA241" s="130"/>
      <c r="AB241" s="130"/>
      <c r="AC241" s="130"/>
      <c r="AD241" s="130"/>
      <c r="AE241" s="130"/>
      <c r="AF241" s="130"/>
      <c r="AG241" s="130"/>
      <c r="AR241" s="58"/>
      <c r="AS241" s="58"/>
      <c r="AT241" s="56"/>
      <c r="AU241" s="56"/>
      <c r="AV241" s="56"/>
      <c r="AW241" s="56"/>
      <c r="AX241" s="56"/>
      <c r="AY241" s="56"/>
      <c r="AZ241" s="56"/>
      <c r="BA241" s="56"/>
      <c r="BB241" s="56"/>
      <c r="BC241" s="56"/>
      <c r="BD241" s="56"/>
      <c r="BE241" s="56"/>
      <c r="BF241" s="56"/>
      <c r="BG241" s="56"/>
      <c r="BH241" s="56"/>
      <c r="BI241" s="56"/>
      <c r="BJ241" s="56"/>
    </row>
    <row r="242" spans="5:62" s="57" customFormat="1" ht="15" hidden="1" customHeight="1" x14ac:dyDescent="0.3">
      <c r="E242" s="128"/>
      <c r="F242" s="129" t="s">
        <v>264</v>
      </c>
      <c r="G242" s="128"/>
      <c r="H242" s="128"/>
      <c r="I242" s="128"/>
      <c r="J242" s="128"/>
      <c r="K242" s="128"/>
      <c r="L242" s="128"/>
      <c r="M242" s="130"/>
      <c r="N242" s="130"/>
      <c r="O242" s="130"/>
      <c r="P242" s="130"/>
      <c r="Q242" s="130"/>
      <c r="R242" s="191"/>
      <c r="S242" s="206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R242" s="58"/>
      <c r="AS242" s="58"/>
      <c r="AT242" s="56"/>
      <c r="AU242" s="56"/>
      <c r="AV242" s="56"/>
      <c r="AW242" s="56"/>
      <c r="AX242" s="56"/>
      <c r="AY242" s="56"/>
      <c r="AZ242" s="56"/>
      <c r="BA242" s="56"/>
      <c r="BB242" s="56"/>
      <c r="BC242" s="56"/>
      <c r="BD242" s="56"/>
      <c r="BE242" s="56"/>
      <c r="BF242" s="56"/>
      <c r="BG242" s="56"/>
      <c r="BH242" s="56"/>
      <c r="BI242" s="56"/>
      <c r="BJ242" s="56"/>
    </row>
    <row r="243" spans="5:62" ht="15" hidden="1" customHeight="1" x14ac:dyDescent="0.3">
      <c r="E243" s="113"/>
      <c r="F243" s="124"/>
      <c r="G243" s="113"/>
      <c r="H243" s="113"/>
      <c r="I243" s="113"/>
      <c r="J243" s="113"/>
      <c r="K243" s="113"/>
      <c r="L243" s="113"/>
      <c r="M243" s="114"/>
      <c r="N243" s="114"/>
      <c r="O243" s="114"/>
      <c r="P243" s="114"/>
      <c r="Q243" s="114"/>
      <c r="R243" s="188"/>
      <c r="S243" s="203"/>
      <c r="T243" s="114"/>
      <c r="U243" s="114"/>
      <c r="V243" s="114"/>
      <c r="W243" s="114"/>
      <c r="X243" s="114"/>
      <c r="Y243" s="114"/>
      <c r="Z243" s="114"/>
      <c r="AA243" s="114"/>
      <c r="AB243" s="114"/>
      <c r="AC243" s="114"/>
      <c r="AD243" s="114"/>
      <c r="AE243" s="114"/>
      <c r="AF243" s="114"/>
      <c r="AG243" s="114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8"/>
      <c r="AS243" s="18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</row>
    <row r="244" spans="5:62" ht="15" hidden="1" customHeight="1" x14ac:dyDescent="0.25"/>
    <row r="245" spans="5:62" ht="15" hidden="1" customHeight="1" x14ac:dyDescent="0.25"/>
  </sheetData>
  <sheetProtection autoFilter="0"/>
  <dataConsolidate link="1"/>
  <mergeCells count="72">
    <mergeCell ref="AH12:AL12"/>
    <mergeCell ref="AM13:AM14"/>
    <mergeCell ref="AN13:AQ13"/>
    <mergeCell ref="E35:E36"/>
    <mergeCell ref="F35:F36"/>
    <mergeCell ref="AH13:AH14"/>
    <mergeCell ref="AI13:AL13"/>
    <mergeCell ref="M13:M14"/>
    <mergeCell ref="R13:R14"/>
    <mergeCell ref="T13:W13"/>
    <mergeCell ref="X12:AB12"/>
    <mergeCell ref="AC12:AG12"/>
    <mergeCell ref="E12:E14"/>
    <mergeCell ref="F12:F14"/>
    <mergeCell ref="G12:G14"/>
    <mergeCell ref="AB13:AE13"/>
    <mergeCell ref="H13:H14"/>
    <mergeCell ref="I13:I14"/>
    <mergeCell ref="J13:J14"/>
    <mergeCell ref="K13:K14"/>
    <mergeCell ref="L13:L14"/>
    <mergeCell ref="X13:X14"/>
    <mergeCell ref="N13:N14"/>
    <mergeCell ref="O13:O14"/>
    <mergeCell ref="P13:P14"/>
    <mergeCell ref="Q13:Q14"/>
    <mergeCell ref="S13:S14"/>
    <mergeCell ref="F210:G210"/>
    <mergeCell ref="N8:O8"/>
    <mergeCell ref="T207:U207"/>
    <mergeCell ref="V207:W207"/>
    <mergeCell ref="Y207:Z207"/>
    <mergeCell ref="E9:AQ9"/>
    <mergeCell ref="E10:AQ10"/>
    <mergeCell ref="I12:J12"/>
    <mergeCell ref="K12:L12"/>
    <mergeCell ref="M12:O12"/>
    <mergeCell ref="P12:Q12"/>
    <mergeCell ref="R12:W12"/>
    <mergeCell ref="AM12:AQ12"/>
    <mergeCell ref="T206:U206"/>
    <mergeCell ref="E40:E41"/>
    <mergeCell ref="F40:F41"/>
    <mergeCell ref="V206:AB206"/>
    <mergeCell ref="E57:E58"/>
    <mergeCell ref="F57:F58"/>
    <mergeCell ref="AN207:AO207"/>
    <mergeCell ref="AP207:AQ207"/>
    <mergeCell ref="AD206:AE206"/>
    <mergeCell ref="AF206:AG206"/>
    <mergeCell ref="V204:W204"/>
    <mergeCell ref="AD204:AE204"/>
    <mergeCell ref="AF204:AG204"/>
    <mergeCell ref="T204:U204"/>
    <mergeCell ref="Y204:Z204"/>
    <mergeCell ref="AA204:AB204"/>
    <mergeCell ref="E65:E66"/>
    <mergeCell ref="F65:F66"/>
    <mergeCell ref="AR166:AS166"/>
    <mergeCell ref="AI207:AJ207"/>
    <mergeCell ref="AK207:AL207"/>
    <mergeCell ref="AN204:AO204"/>
    <mergeCell ref="AP204:AQ204"/>
    <mergeCell ref="AI204:AJ204"/>
    <mergeCell ref="AI206:AJ206"/>
    <mergeCell ref="AK204:AL204"/>
    <mergeCell ref="AK206:AQ206"/>
    <mergeCell ref="F208:G208"/>
    <mergeCell ref="F209:G209"/>
    <mergeCell ref="AA207:AB207"/>
    <mergeCell ref="AD207:AE207"/>
    <mergeCell ref="AF207:AG207"/>
  </mergeCells>
  <phoneticPr fontId="49" type="noConversion"/>
  <dataValidations count="3">
    <dataValidation type="list" errorStyle="warning" allowBlank="1" showInputMessage="1" showErrorMessage="1" sqref="AF206:AG206 V206" xr:uid="{4AC42B13-EE72-4B2A-B9D5-20C34723019F}">
      <formula1>$F$233:$F$240</formula1>
    </dataValidation>
    <dataValidation type="list" allowBlank="1" showInputMessage="1" showErrorMessage="1" sqref="AR125" xr:uid="{93D9B285-D743-4F9F-861A-B4D02B13F596}">
      <formula1>$F$5:$F$6</formula1>
    </dataValidation>
    <dataValidation type="list" errorStyle="warning" allowBlank="1" showInputMessage="1" showErrorMessage="1" sqref="AK206" xr:uid="{5BFB39DA-19A8-43F2-8118-572BEED71688}">
      <formula1>$F$233:$F$242</formula1>
    </dataValidation>
  </dataValidations>
  <printOptions horizontalCentered="1"/>
  <pageMargins left="0" right="0" top="0" bottom="0" header="0.31496062992125984" footer="0.31496062992125984"/>
  <pageSetup paperSize="9" scale="35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95E44-72F7-4DC6-8C50-68D8443F2F5F}">
  <dimension ref="B2:O151"/>
  <sheetViews>
    <sheetView topLeftCell="A13" workbookViewId="0">
      <selection activeCell="L50" sqref="L50"/>
    </sheetView>
  </sheetViews>
  <sheetFormatPr defaultRowHeight="12.75" x14ac:dyDescent="0.2"/>
  <cols>
    <col min="3" max="3" width="41.85546875" customWidth="1"/>
    <col min="5" max="6" width="20.7109375" customWidth="1"/>
    <col min="9" max="10" width="16.5703125" customWidth="1"/>
  </cols>
  <sheetData>
    <row r="2" spans="2:10" ht="13.5" thickBot="1" x14ac:dyDescent="0.25">
      <c r="C2" t="s">
        <v>548</v>
      </c>
    </row>
    <row r="3" spans="2:10" x14ac:dyDescent="0.2">
      <c r="B3" s="681" t="s">
        <v>1</v>
      </c>
      <c r="C3" s="684" t="s">
        <v>2</v>
      </c>
      <c r="D3" s="684" t="s">
        <v>3</v>
      </c>
      <c r="E3" s="676" t="str">
        <f>"Последний отчетный период регулирования - " &amp; year -2 &amp; " год"</f>
        <v>Последний отчетный период регулирования - 2022 год</v>
      </c>
      <c r="F3" s="676"/>
      <c r="I3" s="676" t="str">
        <f>"Последний отчетный период регулирования - " &amp; year -2 &amp; " год"</f>
        <v>Последний отчетный период регулирования - 2022 год</v>
      </c>
      <c r="J3" s="676"/>
    </row>
    <row r="4" spans="2:10" x14ac:dyDescent="0.2">
      <c r="B4" s="682"/>
      <c r="C4" s="685"/>
      <c r="D4" s="685"/>
      <c r="E4" s="677" t="s">
        <v>539</v>
      </c>
      <c r="F4" s="677" t="s">
        <v>10</v>
      </c>
      <c r="I4" s="677" t="s">
        <v>539</v>
      </c>
      <c r="J4" s="677" t="s">
        <v>10</v>
      </c>
    </row>
    <row r="5" spans="2:10" x14ac:dyDescent="0.2">
      <c r="B5" s="683"/>
      <c r="C5" s="686"/>
      <c r="D5" s="686"/>
      <c r="E5" s="678"/>
      <c r="F5" s="678"/>
      <c r="I5" s="678"/>
      <c r="J5" s="678"/>
    </row>
    <row r="6" spans="2:10" x14ac:dyDescent="0.2">
      <c r="B6" s="209">
        <v>1</v>
      </c>
      <c r="C6" s="210" t="s">
        <v>17</v>
      </c>
      <c r="D6" s="211"/>
      <c r="E6" s="212"/>
      <c r="F6" s="212"/>
      <c r="I6" s="212"/>
      <c r="J6" s="212"/>
    </row>
    <row r="7" spans="2:10" x14ac:dyDescent="0.2">
      <c r="B7" s="213" t="s">
        <v>18</v>
      </c>
      <c r="C7" s="210" t="s">
        <v>403</v>
      </c>
      <c r="D7" s="214" t="s">
        <v>19</v>
      </c>
      <c r="E7" s="215">
        <v>0.99248499999999995</v>
      </c>
      <c r="F7" s="216">
        <v>1.023102</v>
      </c>
      <c r="I7" s="215">
        <v>0.99248499999999995</v>
      </c>
      <c r="J7" s="216">
        <v>0.83203000000000005</v>
      </c>
    </row>
    <row r="8" spans="2:10" x14ac:dyDescent="0.2">
      <c r="B8" s="217" t="s">
        <v>35</v>
      </c>
      <c r="C8" s="218" t="s">
        <v>404</v>
      </c>
      <c r="D8" s="211" t="s">
        <v>19</v>
      </c>
      <c r="E8" s="219">
        <v>0</v>
      </c>
      <c r="F8" s="220">
        <v>0</v>
      </c>
      <c r="I8" s="219">
        <v>0</v>
      </c>
      <c r="J8" s="220">
        <v>0</v>
      </c>
    </row>
    <row r="9" spans="2:10" x14ac:dyDescent="0.2">
      <c r="B9" s="217" t="s">
        <v>37</v>
      </c>
      <c r="C9" s="221" t="s">
        <v>405</v>
      </c>
      <c r="D9" s="211" t="s">
        <v>19</v>
      </c>
      <c r="E9" s="219">
        <v>0.40248499999999998</v>
      </c>
      <c r="F9" s="220">
        <v>0.36099999999999999</v>
      </c>
      <c r="I9" s="219">
        <v>0.40248499999999998</v>
      </c>
      <c r="J9" s="220">
        <v>0.183</v>
      </c>
    </row>
    <row r="10" spans="2:10" x14ac:dyDescent="0.2">
      <c r="B10" s="217" t="s">
        <v>406</v>
      </c>
      <c r="C10" s="218" t="s">
        <v>407</v>
      </c>
      <c r="D10" s="211" t="s">
        <v>19</v>
      </c>
      <c r="E10" s="219">
        <v>0</v>
      </c>
      <c r="F10" s="220">
        <v>0</v>
      </c>
      <c r="I10" s="219">
        <v>0</v>
      </c>
      <c r="J10" s="220">
        <v>0</v>
      </c>
    </row>
    <row r="11" spans="2:10" x14ac:dyDescent="0.2">
      <c r="B11" s="217" t="s">
        <v>408</v>
      </c>
      <c r="C11" s="218" t="s">
        <v>409</v>
      </c>
      <c r="D11" s="211" t="s">
        <v>19</v>
      </c>
      <c r="E11" s="219">
        <v>0.59</v>
      </c>
      <c r="F11" s="220">
        <v>0.66210199999999997</v>
      </c>
      <c r="I11" s="219">
        <v>0.59</v>
      </c>
      <c r="J11" s="220">
        <v>0.64903</v>
      </c>
    </row>
    <row r="12" spans="2:10" x14ac:dyDescent="0.2">
      <c r="B12" s="213" t="s">
        <v>20</v>
      </c>
      <c r="C12" s="222" t="s">
        <v>398</v>
      </c>
      <c r="D12" s="214" t="s">
        <v>24</v>
      </c>
      <c r="E12" s="215">
        <v>0</v>
      </c>
      <c r="F12" s="216">
        <v>0</v>
      </c>
      <c r="I12" s="215">
        <v>0</v>
      </c>
      <c r="J12" s="216">
        <v>0</v>
      </c>
    </row>
    <row r="13" spans="2:10" ht="33.75" x14ac:dyDescent="0.2">
      <c r="B13" s="217" t="s">
        <v>399</v>
      </c>
      <c r="C13" s="223" t="s">
        <v>400</v>
      </c>
      <c r="D13" s="211" t="s">
        <v>19</v>
      </c>
      <c r="E13" s="219">
        <v>0</v>
      </c>
      <c r="F13" s="220">
        <v>0</v>
      </c>
      <c r="I13" s="219">
        <v>0</v>
      </c>
      <c r="J13" s="220">
        <v>0</v>
      </c>
    </row>
    <row r="14" spans="2:10" ht="13.5" thickBot="1" x14ac:dyDescent="0.25">
      <c r="B14" s="224" t="s">
        <v>401</v>
      </c>
      <c r="C14" s="225" t="s">
        <v>402</v>
      </c>
      <c r="D14" s="226" t="s">
        <v>19</v>
      </c>
      <c r="E14" s="227">
        <v>0</v>
      </c>
      <c r="F14" s="228">
        <v>0</v>
      </c>
      <c r="I14" s="227">
        <v>0</v>
      </c>
      <c r="J14" s="228">
        <v>0</v>
      </c>
    </row>
    <row r="15" spans="2:10" x14ac:dyDescent="0.2">
      <c r="B15" s="229">
        <v>1</v>
      </c>
      <c r="C15" s="230" t="s">
        <v>30</v>
      </c>
      <c r="D15" s="231" t="s">
        <v>31</v>
      </c>
      <c r="E15" s="232">
        <v>399.95</v>
      </c>
      <c r="F15" s="233">
        <v>348.74496288079945</v>
      </c>
      <c r="I15" s="232">
        <v>392.21876354144001</v>
      </c>
      <c r="J15" s="233">
        <v>19.429549578227725</v>
      </c>
    </row>
    <row r="16" spans="2:10" ht="22.5" x14ac:dyDescent="0.2">
      <c r="B16" s="234" t="s">
        <v>18</v>
      </c>
      <c r="C16" s="235" t="s">
        <v>32</v>
      </c>
      <c r="D16" s="236" t="s">
        <v>31</v>
      </c>
      <c r="E16" s="219">
        <v>0</v>
      </c>
      <c r="F16" s="237">
        <v>0</v>
      </c>
      <c r="I16" s="219">
        <v>0</v>
      </c>
      <c r="J16" s="237">
        <v>0</v>
      </c>
    </row>
    <row r="17" spans="2:10" hidden="1" x14ac:dyDescent="0.2">
      <c r="B17" s="234" t="s">
        <v>35</v>
      </c>
      <c r="C17" s="235" t="s">
        <v>36</v>
      </c>
      <c r="D17" s="236" t="s">
        <v>31</v>
      </c>
      <c r="E17" s="219">
        <v>0</v>
      </c>
      <c r="F17" s="237">
        <v>0</v>
      </c>
      <c r="I17" s="219">
        <v>0</v>
      </c>
      <c r="J17" s="237">
        <v>0</v>
      </c>
    </row>
    <row r="18" spans="2:10" hidden="1" x14ac:dyDescent="0.2">
      <c r="B18" s="234" t="s">
        <v>37</v>
      </c>
      <c r="C18" s="235" t="s">
        <v>38</v>
      </c>
      <c r="D18" s="236" t="s">
        <v>31</v>
      </c>
      <c r="E18" s="219">
        <v>0</v>
      </c>
      <c r="F18" s="237">
        <v>0</v>
      </c>
      <c r="I18" s="219">
        <v>0</v>
      </c>
      <c r="J18" s="237">
        <v>0</v>
      </c>
    </row>
    <row r="19" spans="2:10" ht="45" hidden="1" x14ac:dyDescent="0.2">
      <c r="B19" s="234" t="s">
        <v>20</v>
      </c>
      <c r="C19" s="235" t="s">
        <v>540</v>
      </c>
      <c r="D19" s="236" t="s">
        <v>31</v>
      </c>
      <c r="E19" s="219">
        <v>0</v>
      </c>
      <c r="F19" s="219">
        <v>0</v>
      </c>
      <c r="I19" s="219">
        <v>0</v>
      </c>
      <c r="J19" s="219">
        <v>0</v>
      </c>
    </row>
    <row r="20" spans="2:10" ht="33.75" x14ac:dyDescent="0.2">
      <c r="B20" s="234" t="s">
        <v>21</v>
      </c>
      <c r="C20" s="235" t="s">
        <v>40</v>
      </c>
      <c r="D20" s="236" t="s">
        <v>31</v>
      </c>
      <c r="E20" s="238">
        <v>171.75</v>
      </c>
      <c r="F20" s="237">
        <v>330.93769583498397</v>
      </c>
      <c r="I20" s="238">
        <v>168.42672093744</v>
      </c>
      <c r="J20" s="237">
        <v>0</v>
      </c>
    </row>
    <row r="21" spans="2:10" ht="22.5" x14ac:dyDescent="0.2">
      <c r="B21" s="234" t="s">
        <v>41</v>
      </c>
      <c r="C21" s="235" t="s">
        <v>42</v>
      </c>
      <c r="D21" s="236" t="s">
        <v>31</v>
      </c>
      <c r="E21" s="238">
        <v>122.25</v>
      </c>
      <c r="F21" s="237">
        <v>254.176417692</v>
      </c>
      <c r="I21" s="238">
        <v>119.88999912</v>
      </c>
      <c r="J21" s="237">
        <v>0</v>
      </c>
    </row>
    <row r="22" spans="2:10" x14ac:dyDescent="0.2">
      <c r="B22" s="234"/>
      <c r="C22" s="239" t="s">
        <v>43</v>
      </c>
      <c r="D22" s="240" t="s">
        <v>44</v>
      </c>
      <c r="E22" s="238">
        <v>0.41</v>
      </c>
      <c r="F22" s="237">
        <v>0.5</v>
      </c>
      <c r="I22" s="238">
        <v>0.41</v>
      </c>
      <c r="J22" s="237">
        <v>0</v>
      </c>
    </row>
    <row r="23" spans="2:10" ht="22.5" x14ac:dyDescent="0.2">
      <c r="B23" s="234"/>
      <c r="C23" s="239" t="s">
        <v>45</v>
      </c>
      <c r="D23" s="240" t="s">
        <v>46</v>
      </c>
      <c r="E23" s="238">
        <v>24987.47</v>
      </c>
      <c r="F23" s="237">
        <v>42362.736281999998</v>
      </c>
      <c r="I23" s="238">
        <v>24367.885999999999</v>
      </c>
      <c r="J23" s="237">
        <v>0</v>
      </c>
    </row>
    <row r="24" spans="2:10" x14ac:dyDescent="0.2">
      <c r="B24" s="679"/>
      <c r="C24" s="680" t="s">
        <v>47</v>
      </c>
      <c r="D24" s="236" t="s">
        <v>24</v>
      </c>
      <c r="E24" s="241">
        <v>0.30199999999999999</v>
      </c>
      <c r="F24" s="242">
        <v>0.30199999999999999</v>
      </c>
      <c r="I24" s="241">
        <v>0.30199999999999999</v>
      </c>
      <c r="J24" s="242">
        <v>0</v>
      </c>
    </row>
    <row r="25" spans="2:10" x14ac:dyDescent="0.2">
      <c r="B25" s="679"/>
      <c r="C25" s="680"/>
      <c r="D25" s="236" t="s">
        <v>31</v>
      </c>
      <c r="E25" s="243">
        <v>36.919499999999999</v>
      </c>
      <c r="F25" s="244">
        <v>76.761278142983997</v>
      </c>
      <c r="I25" s="243">
        <v>36.206779734240001</v>
      </c>
      <c r="J25" s="244">
        <v>0</v>
      </c>
    </row>
    <row r="26" spans="2:10" x14ac:dyDescent="0.2">
      <c r="B26" s="234" t="s">
        <v>48</v>
      </c>
      <c r="C26" s="235" t="s">
        <v>49</v>
      </c>
      <c r="D26" s="236" t="s">
        <v>31</v>
      </c>
      <c r="E26" s="238">
        <v>9.66</v>
      </c>
      <c r="F26" s="237">
        <v>0</v>
      </c>
      <c r="I26" s="238">
        <v>9.4700015999999998</v>
      </c>
      <c r="J26" s="237">
        <v>0</v>
      </c>
    </row>
    <row r="27" spans="2:10" x14ac:dyDescent="0.2">
      <c r="B27" s="234"/>
      <c r="C27" s="239" t="s">
        <v>50</v>
      </c>
      <c r="D27" s="240" t="s">
        <v>44</v>
      </c>
      <c r="E27" s="238">
        <v>0.03</v>
      </c>
      <c r="F27" s="237">
        <v>0</v>
      </c>
      <c r="I27" s="238">
        <v>0.03</v>
      </c>
      <c r="J27" s="237">
        <v>0</v>
      </c>
    </row>
    <row r="28" spans="2:10" ht="22.5" x14ac:dyDescent="0.2">
      <c r="B28" s="234"/>
      <c r="C28" s="239" t="s">
        <v>51</v>
      </c>
      <c r="D28" s="240" t="s">
        <v>46</v>
      </c>
      <c r="E28" s="238">
        <v>28240.28</v>
      </c>
      <c r="F28" s="237">
        <v>0</v>
      </c>
      <c r="I28" s="238">
        <v>26305.56</v>
      </c>
      <c r="J28" s="237">
        <v>0</v>
      </c>
    </row>
    <row r="29" spans="2:10" x14ac:dyDescent="0.2">
      <c r="B29" s="679"/>
      <c r="C29" s="680" t="s">
        <v>52</v>
      </c>
      <c r="D29" s="236" t="s">
        <v>24</v>
      </c>
      <c r="E29" s="241">
        <v>0.30199999999999999</v>
      </c>
      <c r="F29" s="242">
        <v>0</v>
      </c>
      <c r="I29" s="241">
        <v>0.30199999999999999</v>
      </c>
      <c r="J29" s="242">
        <v>0</v>
      </c>
    </row>
    <row r="30" spans="2:10" x14ac:dyDescent="0.2">
      <c r="B30" s="679"/>
      <c r="C30" s="680"/>
      <c r="D30" s="236" t="s">
        <v>31</v>
      </c>
      <c r="E30" s="243">
        <v>2.91</v>
      </c>
      <c r="F30" s="244">
        <v>0</v>
      </c>
      <c r="I30" s="243">
        <v>2.8599404831999999</v>
      </c>
      <c r="J30" s="244">
        <v>0</v>
      </c>
    </row>
    <row r="31" spans="2:10" ht="22.5" x14ac:dyDescent="0.2">
      <c r="B31" s="234" t="s">
        <v>22</v>
      </c>
      <c r="C31" s="235" t="s">
        <v>53</v>
      </c>
      <c r="D31" s="236" t="s">
        <v>31</v>
      </c>
      <c r="E31" s="219">
        <v>0</v>
      </c>
      <c r="F31" s="219">
        <v>0</v>
      </c>
      <c r="I31" s="219">
        <v>0</v>
      </c>
      <c r="J31" s="219">
        <v>0</v>
      </c>
    </row>
    <row r="32" spans="2:10" x14ac:dyDescent="0.2">
      <c r="B32" s="234" t="s">
        <v>23</v>
      </c>
      <c r="C32" s="235" t="s">
        <v>54</v>
      </c>
      <c r="D32" s="236" t="s">
        <v>31</v>
      </c>
      <c r="E32" s="219">
        <v>0</v>
      </c>
      <c r="F32" s="219">
        <v>0</v>
      </c>
      <c r="I32" s="219">
        <v>0</v>
      </c>
      <c r="J32" s="219">
        <v>0</v>
      </c>
    </row>
    <row r="33" spans="2:15" x14ac:dyDescent="0.2">
      <c r="B33" s="234" t="s">
        <v>25</v>
      </c>
      <c r="C33" s="235" t="s">
        <v>55</v>
      </c>
      <c r="D33" s="236" t="s">
        <v>31</v>
      </c>
      <c r="E33" s="238">
        <v>86.31</v>
      </c>
      <c r="F33" s="237">
        <v>10.727270000000001</v>
      </c>
      <c r="I33" s="238">
        <v>84.64</v>
      </c>
      <c r="J33" s="237">
        <v>4</v>
      </c>
    </row>
    <row r="34" spans="2:15" hidden="1" x14ac:dyDescent="0.2">
      <c r="B34" s="217" t="s">
        <v>26</v>
      </c>
      <c r="C34" s="235" t="s">
        <v>56</v>
      </c>
      <c r="D34" s="236" t="s">
        <v>31</v>
      </c>
      <c r="E34" s="238">
        <v>0</v>
      </c>
      <c r="F34" s="237">
        <v>0</v>
      </c>
      <c r="I34" s="238">
        <v>0</v>
      </c>
      <c r="J34" s="237">
        <v>0</v>
      </c>
    </row>
    <row r="35" spans="2:15" hidden="1" x14ac:dyDescent="0.2">
      <c r="B35" s="217" t="s">
        <v>27</v>
      </c>
      <c r="C35" s="235" t="s">
        <v>57</v>
      </c>
      <c r="D35" s="236" t="s">
        <v>31</v>
      </c>
      <c r="E35" s="238">
        <v>0</v>
      </c>
      <c r="F35" s="237">
        <v>0</v>
      </c>
      <c r="I35" s="238">
        <v>0</v>
      </c>
      <c r="J35" s="237">
        <v>0</v>
      </c>
    </row>
    <row r="36" spans="2:15" hidden="1" x14ac:dyDescent="0.2">
      <c r="B36" s="217" t="s">
        <v>28</v>
      </c>
      <c r="C36" s="235" t="s">
        <v>58</v>
      </c>
      <c r="D36" s="236" t="s">
        <v>31</v>
      </c>
      <c r="E36" s="238">
        <v>0</v>
      </c>
      <c r="F36" s="237">
        <v>0</v>
      </c>
      <c r="I36" s="238">
        <v>0</v>
      </c>
      <c r="J36" s="237">
        <v>0</v>
      </c>
    </row>
    <row r="37" spans="2:15" ht="22.5" hidden="1" x14ac:dyDescent="0.2">
      <c r="B37" s="217" t="s">
        <v>29</v>
      </c>
      <c r="C37" s="235" t="s">
        <v>59</v>
      </c>
      <c r="D37" s="236" t="s">
        <v>31</v>
      </c>
      <c r="E37" s="238">
        <v>0</v>
      </c>
      <c r="F37" s="237">
        <v>0</v>
      </c>
      <c r="I37" s="238">
        <v>0</v>
      </c>
      <c r="J37" s="237">
        <v>0</v>
      </c>
    </row>
    <row r="38" spans="2:15" x14ac:dyDescent="0.2">
      <c r="B38" s="217" t="s">
        <v>60</v>
      </c>
      <c r="C38" s="235" t="s">
        <v>61</v>
      </c>
      <c r="D38" s="236" t="s">
        <v>31</v>
      </c>
      <c r="E38" s="238">
        <v>86.31</v>
      </c>
      <c r="F38" s="237">
        <v>10.727270000000001</v>
      </c>
      <c r="I38" s="238">
        <v>84.64</v>
      </c>
      <c r="J38" s="237">
        <v>4</v>
      </c>
    </row>
    <row r="39" spans="2:15" x14ac:dyDescent="0.2">
      <c r="B39" s="234" t="s">
        <v>62</v>
      </c>
      <c r="C39" s="245" t="s">
        <v>63</v>
      </c>
      <c r="D39" s="236" t="s">
        <v>31</v>
      </c>
      <c r="E39" s="238">
        <v>111.12</v>
      </c>
      <c r="F39" s="237">
        <v>3.3361700000000001</v>
      </c>
      <c r="I39" s="238">
        <v>108.98</v>
      </c>
      <c r="J39" s="237">
        <v>2.6749999999999998</v>
      </c>
      <c r="L39" t="s">
        <v>549</v>
      </c>
      <c r="M39" t="s">
        <v>550</v>
      </c>
    </row>
    <row r="40" spans="2:15" ht="22.5" x14ac:dyDescent="0.2">
      <c r="B40" s="217" t="s">
        <v>64</v>
      </c>
      <c r="C40" s="264" t="s">
        <v>541</v>
      </c>
      <c r="D40" s="265" t="s">
        <v>31</v>
      </c>
      <c r="E40" s="266">
        <v>111.12</v>
      </c>
      <c r="F40" s="267">
        <v>3.3361700000000001</v>
      </c>
      <c r="I40" s="266">
        <v>108.98</v>
      </c>
      <c r="J40" s="267">
        <v>2.6749999999999998</v>
      </c>
      <c r="L40" s="268">
        <f>E40+I40+'Расчет тарифа мет. инд. 5 лет'!M51</f>
        <v>349.06160960366515</v>
      </c>
      <c r="M40" s="268">
        <f>F40+J40+'Расчет тарифа мет. инд. 5 лет'!N51</f>
        <v>18.111170000000001</v>
      </c>
      <c r="O40" s="269">
        <f>L40-M40</f>
        <v>330.95043960366513</v>
      </c>
    </row>
    <row r="41" spans="2:15" ht="22.5" hidden="1" x14ac:dyDescent="0.2">
      <c r="B41" s="217" t="s">
        <v>66</v>
      </c>
      <c r="C41" s="235" t="s">
        <v>542</v>
      </c>
      <c r="D41" s="236" t="s">
        <v>31</v>
      </c>
      <c r="E41" s="238">
        <v>0</v>
      </c>
      <c r="F41" s="246">
        <v>0</v>
      </c>
      <c r="I41" s="238">
        <v>0</v>
      </c>
      <c r="J41" s="246">
        <v>0</v>
      </c>
    </row>
    <row r="42" spans="2:15" ht="22.5" hidden="1" x14ac:dyDescent="0.2">
      <c r="B42" s="217" t="s">
        <v>68</v>
      </c>
      <c r="C42" s="235" t="s">
        <v>69</v>
      </c>
      <c r="D42" s="236" t="s">
        <v>31</v>
      </c>
      <c r="E42" s="238">
        <v>0</v>
      </c>
      <c r="F42" s="237">
        <v>0</v>
      </c>
      <c r="I42" s="238">
        <v>0</v>
      </c>
      <c r="J42" s="237">
        <v>0</v>
      </c>
    </row>
    <row r="43" spans="2:15" hidden="1" x14ac:dyDescent="0.2">
      <c r="B43" s="217" t="s">
        <v>70</v>
      </c>
      <c r="C43" s="235" t="s">
        <v>71</v>
      </c>
      <c r="D43" s="236" t="s">
        <v>31</v>
      </c>
      <c r="E43" s="238">
        <v>0</v>
      </c>
      <c r="F43" s="237">
        <v>0</v>
      </c>
      <c r="I43" s="238">
        <v>0</v>
      </c>
      <c r="J43" s="237">
        <v>0</v>
      </c>
    </row>
    <row r="44" spans="2:15" hidden="1" x14ac:dyDescent="0.2">
      <c r="B44" s="217"/>
      <c r="C44" s="239" t="s">
        <v>72</v>
      </c>
      <c r="D44" s="240" t="s">
        <v>44</v>
      </c>
      <c r="E44" s="238">
        <v>0</v>
      </c>
      <c r="F44" s="237">
        <v>0</v>
      </c>
      <c r="I44" s="238">
        <v>0</v>
      </c>
      <c r="J44" s="237">
        <v>0</v>
      </c>
    </row>
    <row r="45" spans="2:15" ht="22.5" hidden="1" x14ac:dyDescent="0.2">
      <c r="B45" s="217"/>
      <c r="C45" s="239" t="s">
        <v>73</v>
      </c>
      <c r="D45" s="240" t="s">
        <v>46</v>
      </c>
      <c r="E45" s="238">
        <v>0</v>
      </c>
      <c r="F45" s="237">
        <v>0</v>
      </c>
      <c r="I45" s="238">
        <v>0</v>
      </c>
      <c r="J45" s="237">
        <v>0</v>
      </c>
    </row>
    <row r="46" spans="2:15" hidden="1" x14ac:dyDescent="0.2">
      <c r="B46" s="687" t="s">
        <v>74</v>
      </c>
      <c r="C46" s="680" t="s">
        <v>75</v>
      </c>
      <c r="D46" s="236" t="s">
        <v>24</v>
      </c>
      <c r="E46" s="241">
        <v>0</v>
      </c>
      <c r="F46" s="242">
        <v>0</v>
      </c>
      <c r="I46" s="241">
        <v>0</v>
      </c>
      <c r="J46" s="242">
        <v>0</v>
      </c>
    </row>
    <row r="47" spans="2:15" hidden="1" x14ac:dyDescent="0.2">
      <c r="B47" s="687"/>
      <c r="C47" s="680"/>
      <c r="D47" s="236" t="s">
        <v>31</v>
      </c>
      <c r="E47" s="243">
        <v>0</v>
      </c>
      <c r="F47" s="244">
        <v>0</v>
      </c>
      <c r="I47" s="243">
        <v>0</v>
      </c>
      <c r="J47" s="244">
        <v>0</v>
      </c>
    </row>
    <row r="48" spans="2:15" x14ac:dyDescent="0.2">
      <c r="B48" s="234" t="s">
        <v>76</v>
      </c>
      <c r="C48" s="235" t="s">
        <v>77</v>
      </c>
      <c r="D48" s="236" t="s">
        <v>31</v>
      </c>
      <c r="E48" s="238">
        <v>30.77</v>
      </c>
      <c r="F48" s="237">
        <v>3.7438270458155221</v>
      </c>
      <c r="I48" s="238">
        <v>30.172042604000005</v>
      </c>
      <c r="J48" s="237">
        <v>12.754549578227724</v>
      </c>
    </row>
    <row r="49" spans="2:12" ht="78.75" x14ac:dyDescent="0.2">
      <c r="B49" s="217" t="s">
        <v>78</v>
      </c>
      <c r="C49" s="235" t="s">
        <v>79</v>
      </c>
      <c r="D49" s="236" t="s">
        <v>31</v>
      </c>
      <c r="E49" s="238">
        <v>0.11</v>
      </c>
      <c r="F49" s="237">
        <v>0.82384532220837003</v>
      </c>
      <c r="I49" s="238">
        <v>0.1</v>
      </c>
      <c r="J49" s="237">
        <v>1.3419921479460859</v>
      </c>
      <c r="L49">
        <f>L40/3</f>
        <v>116.35386986788838</v>
      </c>
    </row>
    <row r="50" spans="2:12" ht="33.75" x14ac:dyDescent="0.2">
      <c r="B50" s="217" t="s">
        <v>80</v>
      </c>
      <c r="C50" s="235" t="s">
        <v>81</v>
      </c>
      <c r="D50" s="236" t="s">
        <v>31</v>
      </c>
      <c r="E50" s="238">
        <v>30.56</v>
      </c>
      <c r="F50" s="237">
        <v>2.9199817236071519</v>
      </c>
      <c r="I50" s="238">
        <v>29.972042604000002</v>
      </c>
      <c r="J50" s="237">
        <v>8.9015039058844074</v>
      </c>
    </row>
    <row r="51" spans="2:12" ht="22.5" x14ac:dyDescent="0.2">
      <c r="B51" s="217" t="s">
        <v>82</v>
      </c>
      <c r="C51" s="235" t="s">
        <v>83</v>
      </c>
      <c r="D51" s="236" t="s">
        <v>31</v>
      </c>
      <c r="E51" s="238">
        <v>23.48</v>
      </c>
      <c r="F51" s="237">
        <v>2.2503142935056695</v>
      </c>
      <c r="I51" s="238">
        <v>23.020002000000002</v>
      </c>
      <c r="J51" s="237">
        <v>6.8409434623952148</v>
      </c>
    </row>
    <row r="52" spans="2:12" ht="22.5" x14ac:dyDescent="0.2">
      <c r="B52" s="217"/>
      <c r="C52" s="239" t="s">
        <v>84</v>
      </c>
      <c r="D52" s="240" t="s">
        <v>44</v>
      </c>
      <c r="E52" s="238">
        <v>0.05</v>
      </c>
      <c r="F52" s="237">
        <v>5.8614434999999998E-3</v>
      </c>
      <c r="I52" s="238">
        <v>0.05</v>
      </c>
      <c r="J52" s="237">
        <v>2.1222876350000003E-2</v>
      </c>
    </row>
    <row r="53" spans="2:12" ht="22.5" x14ac:dyDescent="0.2">
      <c r="B53" s="217"/>
      <c r="C53" s="239" t="s">
        <v>85</v>
      </c>
      <c r="D53" s="240" t="s">
        <v>46</v>
      </c>
      <c r="E53" s="238">
        <v>43025.760000000002</v>
      </c>
      <c r="F53" s="237">
        <v>31993.175593259999</v>
      </c>
      <c r="I53" s="238">
        <v>38366.67</v>
      </c>
      <c r="J53" s="237">
        <v>26861.515492279999</v>
      </c>
    </row>
    <row r="54" spans="2:12" x14ac:dyDescent="0.2">
      <c r="B54" s="687" t="s">
        <v>86</v>
      </c>
      <c r="C54" s="680" t="s">
        <v>87</v>
      </c>
      <c r="D54" s="236" t="s">
        <v>24</v>
      </c>
      <c r="E54" s="241">
        <v>0.30199999999999999</v>
      </c>
      <c r="F54" s="242">
        <v>0.29758839999999998</v>
      </c>
      <c r="I54" s="241">
        <v>0.30199999999999999</v>
      </c>
      <c r="J54" s="242">
        <v>0.30120997999999999</v>
      </c>
    </row>
    <row r="55" spans="2:12" x14ac:dyDescent="0.2">
      <c r="B55" s="687"/>
      <c r="C55" s="680"/>
      <c r="D55" s="236" t="s">
        <v>31</v>
      </c>
      <c r="E55" s="243">
        <v>7.0909599999999999</v>
      </c>
      <c r="F55" s="244">
        <v>0.66966743010148255</v>
      </c>
      <c r="I55" s="243">
        <v>6.9520406040000005</v>
      </c>
      <c r="J55" s="244">
        <v>2.0605604434891931</v>
      </c>
    </row>
    <row r="56" spans="2:12" ht="33.75" hidden="1" x14ac:dyDescent="0.2">
      <c r="B56" s="217" t="s">
        <v>88</v>
      </c>
      <c r="C56" s="235" t="s">
        <v>543</v>
      </c>
      <c r="D56" s="236" t="s">
        <v>31</v>
      </c>
      <c r="E56" s="238">
        <v>0</v>
      </c>
      <c r="F56" s="237">
        <v>0</v>
      </c>
      <c r="I56" s="238">
        <v>0</v>
      </c>
      <c r="J56" s="237">
        <v>0</v>
      </c>
    </row>
    <row r="57" spans="2:12" hidden="1" x14ac:dyDescent="0.2">
      <c r="B57" s="217" t="s">
        <v>90</v>
      </c>
      <c r="C57" s="245" t="s">
        <v>91</v>
      </c>
      <c r="D57" s="236" t="s">
        <v>31</v>
      </c>
      <c r="E57" s="238">
        <v>0</v>
      </c>
      <c r="F57" s="237">
        <v>0</v>
      </c>
      <c r="I57" s="238">
        <v>0</v>
      </c>
      <c r="J57" s="237">
        <v>0</v>
      </c>
    </row>
    <row r="58" spans="2:12" hidden="1" x14ac:dyDescent="0.2">
      <c r="B58" s="217" t="s">
        <v>92</v>
      </c>
      <c r="C58" s="245" t="s">
        <v>93</v>
      </c>
      <c r="D58" s="236" t="s">
        <v>31</v>
      </c>
      <c r="E58" s="238">
        <v>0</v>
      </c>
      <c r="F58" s="237">
        <v>0</v>
      </c>
      <c r="I58" s="238">
        <v>0</v>
      </c>
      <c r="J58" s="237">
        <v>3.9164369510500008E-2</v>
      </c>
    </row>
    <row r="59" spans="2:12" hidden="1" x14ac:dyDescent="0.2">
      <c r="B59" s="217" t="s">
        <v>94</v>
      </c>
      <c r="C59" s="235" t="s">
        <v>95</v>
      </c>
      <c r="D59" s="236" t="s">
        <v>31</v>
      </c>
      <c r="E59" s="238">
        <v>0</v>
      </c>
      <c r="F59" s="237">
        <v>0</v>
      </c>
      <c r="I59" s="238">
        <v>0</v>
      </c>
      <c r="J59" s="237">
        <v>0</v>
      </c>
    </row>
    <row r="60" spans="2:12" ht="45" hidden="1" x14ac:dyDescent="0.2">
      <c r="B60" s="217" t="s">
        <v>96</v>
      </c>
      <c r="C60" s="235" t="s">
        <v>97</v>
      </c>
      <c r="D60" s="236" t="s">
        <v>31</v>
      </c>
      <c r="E60" s="238">
        <v>0.1</v>
      </c>
      <c r="F60" s="237">
        <v>0</v>
      </c>
      <c r="I60" s="238">
        <v>0.1</v>
      </c>
      <c r="J60" s="237">
        <v>2.4718891548867301</v>
      </c>
    </row>
    <row r="61" spans="2:12" hidden="1" x14ac:dyDescent="0.2">
      <c r="B61" s="234" t="s">
        <v>98</v>
      </c>
      <c r="C61" s="235" t="s">
        <v>99</v>
      </c>
      <c r="D61" s="236" t="s">
        <v>31</v>
      </c>
      <c r="E61" s="238">
        <v>0</v>
      </c>
      <c r="F61" s="237">
        <v>0</v>
      </c>
      <c r="I61" s="238">
        <v>0</v>
      </c>
      <c r="J61" s="237">
        <v>0</v>
      </c>
    </row>
    <row r="62" spans="2:12" ht="22.5" hidden="1" x14ac:dyDescent="0.2">
      <c r="B62" s="217" t="s">
        <v>100</v>
      </c>
      <c r="C62" s="235" t="s">
        <v>101</v>
      </c>
      <c r="D62" s="236" t="s">
        <v>31</v>
      </c>
      <c r="E62" s="219">
        <v>0</v>
      </c>
      <c r="F62" s="219">
        <v>0</v>
      </c>
      <c r="I62" s="219">
        <v>0</v>
      </c>
      <c r="J62" s="219">
        <v>0</v>
      </c>
    </row>
    <row r="63" spans="2:12" x14ac:dyDescent="0.2">
      <c r="B63" s="247" t="s">
        <v>102</v>
      </c>
      <c r="C63" s="248" t="s">
        <v>103</v>
      </c>
      <c r="D63" s="249" t="s">
        <v>31</v>
      </c>
      <c r="E63" s="250">
        <v>0</v>
      </c>
      <c r="F63" s="251">
        <v>0</v>
      </c>
      <c r="I63" s="250">
        <v>0</v>
      </c>
      <c r="J63" s="251">
        <v>0</v>
      </c>
    </row>
    <row r="64" spans="2:12" hidden="1" x14ac:dyDescent="0.2">
      <c r="B64" s="234"/>
      <c r="C64" s="245" t="s">
        <v>104</v>
      </c>
      <c r="D64" s="236" t="s">
        <v>31</v>
      </c>
      <c r="E64" s="238">
        <v>0</v>
      </c>
      <c r="F64" s="237">
        <v>0</v>
      </c>
      <c r="I64" s="238">
        <v>0</v>
      </c>
      <c r="J64" s="237">
        <v>0</v>
      </c>
    </row>
    <row r="65" spans="2:10" hidden="1" x14ac:dyDescent="0.2">
      <c r="B65" s="234"/>
      <c r="C65" s="252" t="s">
        <v>105</v>
      </c>
      <c r="D65" s="211" t="s">
        <v>106</v>
      </c>
      <c r="E65" s="238">
        <v>0</v>
      </c>
      <c r="F65" s="237">
        <v>0</v>
      </c>
      <c r="I65" s="238">
        <v>0</v>
      </c>
      <c r="J65" s="237">
        <v>0</v>
      </c>
    </row>
    <row r="66" spans="2:10" hidden="1" x14ac:dyDescent="0.2">
      <c r="B66" s="234"/>
      <c r="C66" s="252" t="s">
        <v>107</v>
      </c>
      <c r="D66" s="253" t="s">
        <v>108</v>
      </c>
      <c r="E66" s="238">
        <v>0</v>
      </c>
      <c r="F66" s="237">
        <v>0</v>
      </c>
      <c r="I66" s="238">
        <v>0</v>
      </c>
      <c r="J66" s="237">
        <v>0</v>
      </c>
    </row>
    <row r="67" spans="2:10" hidden="1" x14ac:dyDescent="0.2">
      <c r="B67" s="234"/>
      <c r="C67" s="252" t="s">
        <v>109</v>
      </c>
      <c r="D67" s="253" t="s">
        <v>108</v>
      </c>
      <c r="E67" s="238">
        <v>0</v>
      </c>
      <c r="F67" s="237">
        <v>0</v>
      </c>
      <c r="I67" s="238">
        <v>0</v>
      </c>
      <c r="J67" s="237">
        <v>0</v>
      </c>
    </row>
    <row r="68" spans="2:10" hidden="1" x14ac:dyDescent="0.2">
      <c r="B68" s="234"/>
      <c r="C68" s="252" t="s">
        <v>110</v>
      </c>
      <c r="D68" s="253" t="s">
        <v>111</v>
      </c>
      <c r="E68" s="238">
        <v>0</v>
      </c>
      <c r="F68" s="237">
        <v>0</v>
      </c>
      <c r="I68" s="238">
        <v>0</v>
      </c>
      <c r="J68" s="237">
        <v>0</v>
      </c>
    </row>
    <row r="69" spans="2:10" hidden="1" x14ac:dyDescent="0.2">
      <c r="B69" s="234"/>
      <c r="C69" s="252" t="s">
        <v>112</v>
      </c>
      <c r="D69" s="253"/>
      <c r="E69" s="238"/>
      <c r="F69" s="237"/>
      <c r="I69" s="238"/>
      <c r="J69" s="237"/>
    </row>
    <row r="70" spans="2:10" ht="22.5" hidden="1" x14ac:dyDescent="0.2">
      <c r="B70" s="234"/>
      <c r="C70" s="252" t="s">
        <v>113</v>
      </c>
      <c r="D70" s="253" t="s">
        <v>114</v>
      </c>
      <c r="E70" s="238">
        <v>0</v>
      </c>
      <c r="F70" s="237">
        <v>0</v>
      </c>
      <c r="I70" s="238">
        <v>0</v>
      </c>
      <c r="J70" s="237">
        <v>0</v>
      </c>
    </row>
    <row r="71" spans="2:10" hidden="1" x14ac:dyDescent="0.2">
      <c r="B71" s="234"/>
      <c r="C71" s="252" t="s">
        <v>115</v>
      </c>
      <c r="D71" s="253" t="s">
        <v>111</v>
      </c>
      <c r="E71" s="238">
        <v>0</v>
      </c>
      <c r="F71" s="237">
        <v>0</v>
      </c>
      <c r="I71" s="238">
        <v>0</v>
      </c>
      <c r="J71" s="237">
        <v>0</v>
      </c>
    </row>
    <row r="72" spans="2:10" hidden="1" x14ac:dyDescent="0.2">
      <c r="B72" s="234"/>
      <c r="C72" s="252" t="s">
        <v>116</v>
      </c>
      <c r="D72" s="211" t="s">
        <v>106</v>
      </c>
      <c r="E72" s="238">
        <v>0</v>
      </c>
      <c r="F72" s="237">
        <v>0</v>
      </c>
      <c r="I72" s="238">
        <v>0</v>
      </c>
      <c r="J72" s="237">
        <v>0</v>
      </c>
    </row>
    <row r="73" spans="2:10" hidden="1" x14ac:dyDescent="0.2">
      <c r="B73" s="234"/>
      <c r="C73" s="252" t="s">
        <v>107</v>
      </c>
      <c r="D73" s="253" t="s">
        <v>108</v>
      </c>
      <c r="E73" s="238">
        <v>0</v>
      </c>
      <c r="F73" s="237">
        <v>0</v>
      </c>
      <c r="I73" s="238">
        <v>0</v>
      </c>
      <c r="J73" s="237">
        <v>0</v>
      </c>
    </row>
    <row r="74" spans="2:10" hidden="1" x14ac:dyDescent="0.2">
      <c r="B74" s="234"/>
      <c r="C74" s="252" t="s">
        <v>109</v>
      </c>
      <c r="D74" s="253" t="s">
        <v>108</v>
      </c>
      <c r="E74" s="238">
        <v>0</v>
      </c>
      <c r="F74" s="237">
        <v>0</v>
      </c>
      <c r="I74" s="238">
        <v>0</v>
      </c>
      <c r="J74" s="237">
        <v>0</v>
      </c>
    </row>
    <row r="75" spans="2:10" hidden="1" x14ac:dyDescent="0.2">
      <c r="B75" s="234"/>
      <c r="C75" s="252" t="s">
        <v>110</v>
      </c>
      <c r="D75" s="253" t="s">
        <v>111</v>
      </c>
      <c r="E75" s="238">
        <v>0</v>
      </c>
      <c r="F75" s="237">
        <v>0</v>
      </c>
      <c r="I75" s="238">
        <v>0</v>
      </c>
      <c r="J75" s="237">
        <v>0</v>
      </c>
    </row>
    <row r="76" spans="2:10" hidden="1" x14ac:dyDescent="0.2">
      <c r="B76" s="234"/>
      <c r="C76" s="252" t="s">
        <v>112</v>
      </c>
      <c r="D76" s="253"/>
      <c r="E76" s="238"/>
      <c r="F76" s="237"/>
      <c r="I76" s="238"/>
      <c r="J76" s="237"/>
    </row>
    <row r="77" spans="2:10" ht="22.5" hidden="1" x14ac:dyDescent="0.2">
      <c r="B77" s="234"/>
      <c r="C77" s="252" t="s">
        <v>113</v>
      </c>
      <c r="D77" s="253" t="s">
        <v>114</v>
      </c>
      <c r="E77" s="238">
        <v>0</v>
      </c>
      <c r="F77" s="237">
        <v>0</v>
      </c>
      <c r="I77" s="238">
        <v>0</v>
      </c>
      <c r="J77" s="237">
        <v>0</v>
      </c>
    </row>
    <row r="78" spans="2:10" hidden="1" x14ac:dyDescent="0.2">
      <c r="B78" s="234"/>
      <c r="C78" s="252" t="s">
        <v>115</v>
      </c>
      <c r="D78" s="253" t="s">
        <v>111</v>
      </c>
      <c r="E78" s="238">
        <v>0</v>
      </c>
      <c r="F78" s="237">
        <v>0</v>
      </c>
      <c r="I78" s="238">
        <v>0</v>
      </c>
      <c r="J78" s="237">
        <v>0</v>
      </c>
    </row>
    <row r="79" spans="2:10" hidden="1" x14ac:dyDescent="0.2">
      <c r="B79" s="234"/>
      <c r="C79" s="252" t="s">
        <v>117</v>
      </c>
      <c r="D79" s="211" t="s">
        <v>106</v>
      </c>
      <c r="E79" s="238">
        <v>0</v>
      </c>
      <c r="F79" s="237">
        <v>0</v>
      </c>
      <c r="I79" s="238">
        <v>0</v>
      </c>
      <c r="J79" s="237">
        <v>0</v>
      </c>
    </row>
    <row r="80" spans="2:10" hidden="1" x14ac:dyDescent="0.2">
      <c r="B80" s="234"/>
      <c r="C80" s="252" t="s">
        <v>107</v>
      </c>
      <c r="D80" s="253" t="s">
        <v>108</v>
      </c>
      <c r="E80" s="238">
        <v>0</v>
      </c>
      <c r="F80" s="237">
        <v>0</v>
      </c>
      <c r="I80" s="238">
        <v>0</v>
      </c>
      <c r="J80" s="237">
        <v>0</v>
      </c>
    </row>
    <row r="81" spans="2:10" hidden="1" x14ac:dyDescent="0.2">
      <c r="B81" s="234"/>
      <c r="C81" s="252" t="s">
        <v>109</v>
      </c>
      <c r="D81" s="253" t="s">
        <v>108</v>
      </c>
      <c r="E81" s="238">
        <v>0</v>
      </c>
      <c r="F81" s="237">
        <v>0</v>
      </c>
      <c r="I81" s="238">
        <v>0</v>
      </c>
      <c r="J81" s="237">
        <v>0</v>
      </c>
    </row>
    <row r="82" spans="2:10" hidden="1" x14ac:dyDescent="0.2">
      <c r="B82" s="234"/>
      <c r="C82" s="252" t="s">
        <v>110</v>
      </c>
      <c r="D82" s="253" t="s">
        <v>111</v>
      </c>
      <c r="E82" s="238">
        <v>0</v>
      </c>
      <c r="F82" s="237">
        <v>0</v>
      </c>
      <c r="I82" s="238">
        <v>0</v>
      </c>
      <c r="J82" s="237">
        <v>0</v>
      </c>
    </row>
    <row r="83" spans="2:10" hidden="1" x14ac:dyDescent="0.2">
      <c r="B83" s="234"/>
      <c r="C83" s="252" t="s">
        <v>112</v>
      </c>
      <c r="D83" s="253"/>
      <c r="E83" s="238"/>
      <c r="F83" s="237"/>
      <c r="I83" s="238"/>
      <c r="J83" s="237"/>
    </row>
    <row r="84" spans="2:10" ht="22.5" hidden="1" x14ac:dyDescent="0.2">
      <c r="B84" s="234"/>
      <c r="C84" s="252" t="s">
        <v>113</v>
      </c>
      <c r="D84" s="253" t="s">
        <v>114</v>
      </c>
      <c r="E84" s="238">
        <v>0</v>
      </c>
      <c r="F84" s="237">
        <v>0</v>
      </c>
      <c r="I84" s="238">
        <v>0</v>
      </c>
      <c r="J84" s="237">
        <v>0</v>
      </c>
    </row>
    <row r="85" spans="2:10" hidden="1" x14ac:dyDescent="0.2">
      <c r="B85" s="234"/>
      <c r="C85" s="252" t="s">
        <v>115</v>
      </c>
      <c r="D85" s="253" t="s">
        <v>111</v>
      </c>
      <c r="E85" s="238">
        <v>0</v>
      </c>
      <c r="F85" s="237">
        <v>0</v>
      </c>
      <c r="I85" s="238">
        <v>0</v>
      </c>
      <c r="J85" s="237">
        <v>0</v>
      </c>
    </row>
    <row r="86" spans="2:10" hidden="1" x14ac:dyDescent="0.2">
      <c r="B86" s="234"/>
      <c r="C86" s="252" t="s">
        <v>118</v>
      </c>
      <c r="D86" s="211" t="s">
        <v>106</v>
      </c>
      <c r="E86" s="238">
        <v>0</v>
      </c>
      <c r="F86" s="237">
        <v>0</v>
      </c>
      <c r="I86" s="238">
        <v>0</v>
      </c>
      <c r="J86" s="237">
        <v>0</v>
      </c>
    </row>
    <row r="87" spans="2:10" hidden="1" x14ac:dyDescent="0.2">
      <c r="B87" s="234"/>
      <c r="C87" s="252" t="s">
        <v>107</v>
      </c>
      <c r="D87" s="253" t="s">
        <v>108</v>
      </c>
      <c r="E87" s="238">
        <v>0</v>
      </c>
      <c r="F87" s="237">
        <v>0</v>
      </c>
      <c r="I87" s="238">
        <v>0</v>
      </c>
      <c r="J87" s="237">
        <v>0</v>
      </c>
    </row>
    <row r="88" spans="2:10" hidden="1" x14ac:dyDescent="0.2">
      <c r="B88" s="234"/>
      <c r="C88" s="252" t="s">
        <v>109</v>
      </c>
      <c r="D88" s="253" t="s">
        <v>108</v>
      </c>
      <c r="E88" s="238">
        <v>0</v>
      </c>
      <c r="F88" s="237">
        <v>0</v>
      </c>
      <c r="I88" s="238">
        <v>0</v>
      </c>
      <c r="J88" s="237">
        <v>0</v>
      </c>
    </row>
    <row r="89" spans="2:10" hidden="1" x14ac:dyDescent="0.2">
      <c r="B89" s="234"/>
      <c r="C89" s="252" t="s">
        <v>110</v>
      </c>
      <c r="D89" s="253" t="s">
        <v>111</v>
      </c>
      <c r="E89" s="238">
        <v>0</v>
      </c>
      <c r="F89" s="237">
        <v>0</v>
      </c>
      <c r="I89" s="238">
        <v>0</v>
      </c>
      <c r="J89" s="237">
        <v>0</v>
      </c>
    </row>
    <row r="90" spans="2:10" hidden="1" x14ac:dyDescent="0.2">
      <c r="B90" s="234"/>
      <c r="C90" s="252" t="s">
        <v>112</v>
      </c>
      <c r="D90" s="253"/>
      <c r="E90" s="238"/>
      <c r="F90" s="237"/>
      <c r="I90" s="238"/>
      <c r="J90" s="237"/>
    </row>
    <row r="91" spans="2:10" ht="22.5" hidden="1" x14ac:dyDescent="0.2">
      <c r="B91" s="234"/>
      <c r="C91" s="252" t="s">
        <v>113</v>
      </c>
      <c r="D91" s="253" t="s">
        <v>114</v>
      </c>
      <c r="E91" s="238">
        <v>0</v>
      </c>
      <c r="F91" s="237">
        <v>0</v>
      </c>
      <c r="I91" s="238">
        <v>0</v>
      </c>
      <c r="J91" s="237">
        <v>0</v>
      </c>
    </row>
    <row r="92" spans="2:10" hidden="1" x14ac:dyDescent="0.2">
      <c r="B92" s="234"/>
      <c r="C92" s="252" t="s">
        <v>115</v>
      </c>
      <c r="D92" s="253" t="s">
        <v>111</v>
      </c>
      <c r="E92" s="238">
        <v>0</v>
      </c>
      <c r="F92" s="237">
        <v>0</v>
      </c>
      <c r="I92" s="238">
        <v>0</v>
      </c>
      <c r="J92" s="237">
        <v>0</v>
      </c>
    </row>
    <row r="93" spans="2:10" hidden="1" x14ac:dyDescent="0.2">
      <c r="B93" s="234"/>
      <c r="C93" s="252" t="s">
        <v>119</v>
      </c>
      <c r="D93" s="211" t="s">
        <v>106</v>
      </c>
      <c r="E93" s="238">
        <v>0</v>
      </c>
      <c r="F93" s="237">
        <v>0</v>
      </c>
      <c r="I93" s="238">
        <v>0</v>
      </c>
      <c r="J93" s="237">
        <v>0</v>
      </c>
    </row>
    <row r="94" spans="2:10" hidden="1" x14ac:dyDescent="0.2">
      <c r="B94" s="234"/>
      <c r="C94" s="252" t="s">
        <v>107</v>
      </c>
      <c r="D94" s="253" t="s">
        <v>108</v>
      </c>
      <c r="E94" s="238">
        <v>0</v>
      </c>
      <c r="F94" s="237">
        <v>0</v>
      </c>
      <c r="I94" s="238">
        <v>0</v>
      </c>
      <c r="J94" s="237">
        <v>0</v>
      </c>
    </row>
    <row r="95" spans="2:10" hidden="1" x14ac:dyDescent="0.2">
      <c r="B95" s="234"/>
      <c r="C95" s="252" t="s">
        <v>109</v>
      </c>
      <c r="D95" s="253" t="s">
        <v>108</v>
      </c>
      <c r="E95" s="238">
        <v>0</v>
      </c>
      <c r="F95" s="237">
        <v>0</v>
      </c>
      <c r="I95" s="238">
        <v>0</v>
      </c>
      <c r="J95" s="237">
        <v>0</v>
      </c>
    </row>
    <row r="96" spans="2:10" hidden="1" x14ac:dyDescent="0.2">
      <c r="B96" s="234"/>
      <c r="C96" s="252" t="s">
        <v>110</v>
      </c>
      <c r="D96" s="253" t="s">
        <v>111</v>
      </c>
      <c r="E96" s="238">
        <v>0</v>
      </c>
      <c r="F96" s="237">
        <v>0</v>
      </c>
      <c r="I96" s="238">
        <v>0</v>
      </c>
      <c r="J96" s="237">
        <v>0</v>
      </c>
    </row>
    <row r="97" spans="2:10" hidden="1" x14ac:dyDescent="0.2">
      <c r="B97" s="234"/>
      <c r="C97" s="252" t="s">
        <v>112</v>
      </c>
      <c r="D97" s="253"/>
      <c r="E97" s="238"/>
      <c r="F97" s="237"/>
      <c r="I97" s="238"/>
      <c r="J97" s="237"/>
    </row>
    <row r="98" spans="2:10" ht="22.5" hidden="1" x14ac:dyDescent="0.2">
      <c r="B98" s="234"/>
      <c r="C98" s="252" t="s">
        <v>113</v>
      </c>
      <c r="D98" s="253" t="s">
        <v>114</v>
      </c>
      <c r="E98" s="238">
        <v>0</v>
      </c>
      <c r="F98" s="237">
        <v>0</v>
      </c>
      <c r="I98" s="238">
        <v>0</v>
      </c>
      <c r="J98" s="237">
        <v>0</v>
      </c>
    </row>
    <row r="99" spans="2:10" hidden="1" x14ac:dyDescent="0.2">
      <c r="B99" s="234"/>
      <c r="C99" s="252" t="s">
        <v>115</v>
      </c>
      <c r="D99" s="253" t="s">
        <v>111</v>
      </c>
      <c r="E99" s="238">
        <v>0</v>
      </c>
      <c r="F99" s="237">
        <v>0</v>
      </c>
      <c r="I99" s="238">
        <v>0</v>
      </c>
      <c r="J99" s="237">
        <v>0</v>
      </c>
    </row>
    <row r="100" spans="2:10" x14ac:dyDescent="0.2">
      <c r="B100" s="247" t="s">
        <v>120</v>
      </c>
      <c r="C100" s="248" t="s">
        <v>121</v>
      </c>
      <c r="D100" s="249" t="s">
        <v>31</v>
      </c>
      <c r="E100" s="254">
        <v>4.0650000000000004</v>
      </c>
      <c r="F100" s="254">
        <v>4.2034000000000002</v>
      </c>
      <c r="I100" s="254">
        <v>3.9899999999999998</v>
      </c>
      <c r="J100" s="254">
        <v>0.83667999999999998</v>
      </c>
    </row>
    <row r="101" spans="2:10" ht="22.5" x14ac:dyDescent="0.2">
      <c r="B101" s="234" t="s">
        <v>122</v>
      </c>
      <c r="C101" s="235" t="s">
        <v>123</v>
      </c>
      <c r="D101" s="236" t="s">
        <v>31</v>
      </c>
      <c r="E101" s="255">
        <v>0</v>
      </c>
      <c r="F101" s="237">
        <v>0</v>
      </c>
      <c r="I101" s="255">
        <v>0</v>
      </c>
      <c r="J101" s="237">
        <v>0</v>
      </c>
    </row>
    <row r="102" spans="2:10" x14ac:dyDescent="0.2">
      <c r="B102" s="234" t="s">
        <v>124</v>
      </c>
      <c r="C102" s="245" t="s">
        <v>125</v>
      </c>
      <c r="D102" s="236" t="s">
        <v>31</v>
      </c>
      <c r="E102" s="238">
        <v>0</v>
      </c>
      <c r="F102" s="237">
        <v>0</v>
      </c>
      <c r="I102" s="238">
        <v>0</v>
      </c>
      <c r="J102" s="237">
        <v>0</v>
      </c>
    </row>
    <row r="103" spans="2:10" x14ac:dyDescent="0.2">
      <c r="B103" s="234" t="s">
        <v>126</v>
      </c>
      <c r="C103" s="245" t="s">
        <v>127</v>
      </c>
      <c r="D103" s="236" t="s">
        <v>31</v>
      </c>
      <c r="E103" s="238">
        <v>0</v>
      </c>
      <c r="F103" s="237">
        <v>0</v>
      </c>
      <c r="I103" s="238">
        <v>0</v>
      </c>
      <c r="J103" s="237">
        <v>0</v>
      </c>
    </row>
    <row r="104" spans="2:10" x14ac:dyDescent="0.2">
      <c r="B104" s="234" t="s">
        <v>128</v>
      </c>
      <c r="C104" s="245" t="s">
        <v>129</v>
      </c>
      <c r="D104" s="236" t="s">
        <v>31</v>
      </c>
      <c r="E104" s="238">
        <v>0</v>
      </c>
      <c r="F104" s="237">
        <v>0</v>
      </c>
      <c r="I104" s="238">
        <v>0</v>
      </c>
      <c r="J104" s="237">
        <v>0</v>
      </c>
    </row>
    <row r="105" spans="2:10" x14ac:dyDescent="0.2">
      <c r="B105" s="234" t="s">
        <v>130</v>
      </c>
      <c r="C105" s="245" t="s">
        <v>131</v>
      </c>
      <c r="D105" s="236" t="s">
        <v>31</v>
      </c>
      <c r="E105" s="238">
        <v>0</v>
      </c>
      <c r="F105" s="237">
        <v>0</v>
      </c>
      <c r="I105" s="238">
        <v>0</v>
      </c>
      <c r="J105" s="237">
        <v>0</v>
      </c>
    </row>
    <row r="106" spans="2:10" x14ac:dyDescent="0.2">
      <c r="B106" s="234" t="s">
        <v>132</v>
      </c>
      <c r="C106" s="245" t="s">
        <v>133</v>
      </c>
      <c r="D106" s="236" t="s">
        <v>31</v>
      </c>
      <c r="E106" s="219">
        <v>0</v>
      </c>
      <c r="F106" s="219">
        <v>0</v>
      </c>
      <c r="I106" s="219">
        <v>0</v>
      </c>
      <c r="J106" s="219">
        <v>0</v>
      </c>
    </row>
    <row r="107" spans="2:10" x14ac:dyDescent="0.2">
      <c r="B107" s="234" t="s">
        <v>134</v>
      </c>
      <c r="C107" s="245" t="s">
        <v>135</v>
      </c>
      <c r="D107" s="236" t="s">
        <v>31</v>
      </c>
      <c r="E107" s="219">
        <v>0</v>
      </c>
      <c r="F107" s="219">
        <v>0</v>
      </c>
      <c r="I107" s="219">
        <v>0</v>
      </c>
      <c r="J107" s="219">
        <v>0</v>
      </c>
    </row>
    <row r="108" spans="2:10" x14ac:dyDescent="0.2">
      <c r="B108" s="234" t="s">
        <v>136</v>
      </c>
      <c r="C108" s="245" t="s">
        <v>137</v>
      </c>
      <c r="D108" s="236" t="s">
        <v>31</v>
      </c>
      <c r="E108" s="219">
        <v>0</v>
      </c>
      <c r="F108" s="219">
        <v>0</v>
      </c>
      <c r="I108" s="219">
        <v>0</v>
      </c>
      <c r="J108" s="219">
        <v>0</v>
      </c>
    </row>
    <row r="109" spans="2:10" x14ac:dyDescent="0.2">
      <c r="B109" s="234" t="s">
        <v>138</v>
      </c>
      <c r="C109" s="245" t="s">
        <v>139</v>
      </c>
      <c r="D109" s="236" t="s">
        <v>31</v>
      </c>
      <c r="E109" s="219">
        <v>0</v>
      </c>
      <c r="F109" s="219">
        <v>0</v>
      </c>
      <c r="I109" s="219">
        <v>0</v>
      </c>
      <c r="J109" s="219">
        <v>0</v>
      </c>
    </row>
    <row r="110" spans="2:10" x14ac:dyDescent="0.2">
      <c r="B110" s="234" t="s">
        <v>140</v>
      </c>
      <c r="C110" s="245" t="s">
        <v>141</v>
      </c>
      <c r="D110" s="236" t="s">
        <v>31</v>
      </c>
      <c r="E110" s="219">
        <v>0</v>
      </c>
      <c r="F110" s="219">
        <v>0</v>
      </c>
      <c r="I110" s="219">
        <v>0</v>
      </c>
      <c r="J110" s="219">
        <v>0</v>
      </c>
    </row>
    <row r="111" spans="2:10" x14ac:dyDescent="0.2">
      <c r="B111" s="234" t="s">
        <v>142</v>
      </c>
      <c r="C111" s="245" t="s">
        <v>143</v>
      </c>
      <c r="D111" s="236" t="s">
        <v>31</v>
      </c>
      <c r="E111" s="219">
        <v>0</v>
      </c>
      <c r="F111" s="219">
        <v>0</v>
      </c>
      <c r="I111" s="219">
        <v>0</v>
      </c>
      <c r="J111" s="219">
        <v>0</v>
      </c>
    </row>
    <row r="112" spans="2:10" x14ac:dyDescent="0.2">
      <c r="B112" s="234" t="s">
        <v>144</v>
      </c>
      <c r="C112" s="245" t="s">
        <v>145</v>
      </c>
      <c r="D112" s="236" t="s">
        <v>31</v>
      </c>
      <c r="E112" s="219">
        <v>0</v>
      </c>
      <c r="F112" s="219">
        <v>0</v>
      </c>
      <c r="I112" s="219">
        <v>0</v>
      </c>
      <c r="J112" s="219">
        <v>0</v>
      </c>
    </row>
    <row r="113" spans="2:10" x14ac:dyDescent="0.2">
      <c r="B113" s="234" t="s">
        <v>146</v>
      </c>
      <c r="C113" s="235" t="s">
        <v>147</v>
      </c>
      <c r="D113" s="236" t="s">
        <v>31</v>
      </c>
      <c r="E113" s="238">
        <v>4.0650000000000004</v>
      </c>
      <c r="F113" s="237">
        <v>4.2034000000000002</v>
      </c>
      <c r="I113" s="238">
        <v>3.9899999999999998</v>
      </c>
      <c r="J113" s="237">
        <v>0.83667999999999998</v>
      </c>
    </row>
    <row r="114" spans="2:10" x14ac:dyDescent="0.2">
      <c r="B114" s="217" t="s">
        <v>148</v>
      </c>
      <c r="C114" s="245" t="s">
        <v>544</v>
      </c>
      <c r="D114" s="236" t="s">
        <v>31</v>
      </c>
      <c r="E114" s="238">
        <v>0</v>
      </c>
      <c r="F114" s="237">
        <v>0</v>
      </c>
      <c r="I114" s="238">
        <v>0</v>
      </c>
      <c r="J114" s="237">
        <v>0</v>
      </c>
    </row>
    <row r="115" spans="2:10" x14ac:dyDescent="0.2">
      <c r="B115" s="217" t="s">
        <v>149</v>
      </c>
      <c r="C115" s="235" t="s">
        <v>150</v>
      </c>
      <c r="D115" s="236" t="s">
        <v>31</v>
      </c>
      <c r="E115" s="238">
        <v>0</v>
      </c>
      <c r="F115" s="237">
        <v>0</v>
      </c>
      <c r="I115" s="238">
        <v>0</v>
      </c>
      <c r="J115" s="237">
        <v>0</v>
      </c>
    </row>
    <row r="116" spans="2:10" ht="22.5" x14ac:dyDescent="0.2">
      <c r="B116" s="217" t="s">
        <v>151</v>
      </c>
      <c r="C116" s="235" t="s">
        <v>152</v>
      </c>
      <c r="D116" s="236" t="s">
        <v>31</v>
      </c>
      <c r="E116" s="238">
        <v>0</v>
      </c>
      <c r="F116" s="237">
        <v>0</v>
      </c>
      <c r="I116" s="238">
        <v>0</v>
      </c>
      <c r="J116" s="237">
        <v>0</v>
      </c>
    </row>
    <row r="117" spans="2:10" ht="22.5" x14ac:dyDescent="0.2">
      <c r="B117" s="217" t="s">
        <v>153</v>
      </c>
      <c r="C117" s="235" t="s">
        <v>154</v>
      </c>
      <c r="D117" s="236" t="s">
        <v>31</v>
      </c>
      <c r="E117" s="238">
        <v>0</v>
      </c>
      <c r="F117" s="237">
        <v>0</v>
      </c>
      <c r="I117" s="238">
        <v>0</v>
      </c>
      <c r="J117" s="237">
        <v>0</v>
      </c>
    </row>
    <row r="118" spans="2:10" x14ac:dyDescent="0.2">
      <c r="B118" s="217" t="s">
        <v>155</v>
      </c>
      <c r="C118" s="245" t="s">
        <v>156</v>
      </c>
      <c r="D118" s="236" t="s">
        <v>31</v>
      </c>
      <c r="E118" s="238">
        <v>0</v>
      </c>
      <c r="F118" s="237">
        <v>0</v>
      </c>
      <c r="I118" s="238">
        <v>0</v>
      </c>
      <c r="J118" s="237">
        <v>0</v>
      </c>
    </row>
    <row r="119" spans="2:10" x14ac:dyDescent="0.2">
      <c r="B119" s="217" t="s">
        <v>157</v>
      </c>
      <c r="C119" s="245" t="s">
        <v>158</v>
      </c>
      <c r="D119" s="236" t="s">
        <v>31</v>
      </c>
      <c r="E119" s="238">
        <v>0.03</v>
      </c>
      <c r="F119" s="237">
        <v>0</v>
      </c>
      <c r="I119" s="238">
        <v>0.03</v>
      </c>
      <c r="J119" s="237">
        <v>0</v>
      </c>
    </row>
    <row r="120" spans="2:10" x14ac:dyDescent="0.2">
      <c r="B120" s="217" t="s">
        <v>159</v>
      </c>
      <c r="C120" s="235" t="s">
        <v>160</v>
      </c>
      <c r="D120" s="236" t="s">
        <v>31</v>
      </c>
      <c r="E120" s="238">
        <v>4.0350000000000001</v>
      </c>
      <c r="F120" s="237">
        <v>4.2034000000000002</v>
      </c>
      <c r="I120" s="238">
        <v>3.96</v>
      </c>
      <c r="J120" s="237">
        <v>0.83667999999999998</v>
      </c>
    </row>
    <row r="121" spans="2:10" ht="22.5" x14ac:dyDescent="0.2">
      <c r="B121" s="234" t="s">
        <v>161</v>
      </c>
      <c r="C121" s="235" t="s">
        <v>162</v>
      </c>
      <c r="D121" s="236" t="s">
        <v>31</v>
      </c>
      <c r="E121" s="238">
        <v>0</v>
      </c>
      <c r="F121" s="237">
        <v>0</v>
      </c>
      <c r="I121" s="238">
        <v>0</v>
      </c>
      <c r="J121" s="237">
        <v>0</v>
      </c>
    </row>
    <row r="122" spans="2:10" x14ac:dyDescent="0.2">
      <c r="B122" s="217" t="s">
        <v>163</v>
      </c>
      <c r="C122" s="245" t="s">
        <v>164</v>
      </c>
      <c r="D122" s="236" t="s">
        <v>31</v>
      </c>
      <c r="E122" s="238">
        <v>0</v>
      </c>
      <c r="F122" s="237">
        <v>0</v>
      </c>
      <c r="I122" s="238">
        <v>0</v>
      </c>
      <c r="J122" s="237">
        <v>0</v>
      </c>
    </row>
    <row r="123" spans="2:10" x14ac:dyDescent="0.2">
      <c r="B123" s="217" t="s">
        <v>165</v>
      </c>
      <c r="C123" s="245" t="s">
        <v>166</v>
      </c>
      <c r="D123" s="236" t="s">
        <v>31</v>
      </c>
      <c r="E123" s="219">
        <v>0</v>
      </c>
      <c r="F123" s="219">
        <v>0</v>
      </c>
      <c r="I123" s="219">
        <v>0</v>
      </c>
      <c r="J123" s="219">
        <v>0</v>
      </c>
    </row>
    <row r="124" spans="2:10" x14ac:dyDescent="0.2">
      <c r="B124" s="217" t="s">
        <v>167</v>
      </c>
      <c r="C124" s="245" t="s">
        <v>168</v>
      </c>
      <c r="D124" s="236" t="s">
        <v>31</v>
      </c>
      <c r="E124" s="238">
        <v>0</v>
      </c>
      <c r="F124" s="237">
        <v>0</v>
      </c>
      <c r="I124" s="238">
        <v>0</v>
      </c>
      <c r="J124" s="237">
        <v>0</v>
      </c>
    </row>
    <row r="125" spans="2:10" x14ac:dyDescent="0.2">
      <c r="B125" s="217" t="s">
        <v>169</v>
      </c>
      <c r="C125" s="245" t="s">
        <v>170</v>
      </c>
      <c r="D125" s="236" t="s">
        <v>31</v>
      </c>
      <c r="E125" s="219">
        <v>0</v>
      </c>
      <c r="F125" s="219">
        <v>0</v>
      </c>
      <c r="I125" s="219">
        <v>0</v>
      </c>
      <c r="J125" s="219">
        <v>0</v>
      </c>
    </row>
    <row r="126" spans="2:10" ht="22.5" x14ac:dyDescent="0.2">
      <c r="B126" s="234" t="s">
        <v>171</v>
      </c>
      <c r="C126" s="235" t="s">
        <v>101</v>
      </c>
      <c r="D126" s="236" t="s">
        <v>31</v>
      </c>
      <c r="E126" s="238">
        <v>0</v>
      </c>
      <c r="F126" s="237">
        <v>0</v>
      </c>
      <c r="I126" s="238">
        <v>0</v>
      </c>
      <c r="J126" s="237">
        <v>0</v>
      </c>
    </row>
    <row r="127" spans="2:10" x14ac:dyDescent="0.2">
      <c r="B127" s="217" t="s">
        <v>172</v>
      </c>
      <c r="C127" s="235" t="s">
        <v>173</v>
      </c>
      <c r="D127" s="236" t="s">
        <v>31</v>
      </c>
      <c r="E127" s="219">
        <v>0</v>
      </c>
      <c r="F127" s="219">
        <v>0</v>
      </c>
      <c r="I127" s="219">
        <v>0</v>
      </c>
      <c r="J127" s="219">
        <v>0</v>
      </c>
    </row>
    <row r="128" spans="2:10" x14ac:dyDescent="0.2">
      <c r="B128" s="217" t="s">
        <v>174</v>
      </c>
      <c r="C128" s="235" t="s">
        <v>175</v>
      </c>
      <c r="D128" s="236" t="s">
        <v>31</v>
      </c>
      <c r="E128" s="219">
        <v>0</v>
      </c>
      <c r="F128" s="219">
        <v>0</v>
      </c>
      <c r="I128" s="219">
        <v>0</v>
      </c>
      <c r="J128" s="219">
        <v>0</v>
      </c>
    </row>
    <row r="129" spans="2:10" x14ac:dyDescent="0.2">
      <c r="B129" s="217" t="s">
        <v>176</v>
      </c>
      <c r="C129" s="235" t="s">
        <v>177</v>
      </c>
      <c r="D129" s="236" t="s">
        <v>31</v>
      </c>
      <c r="E129" s="219">
        <v>0</v>
      </c>
      <c r="F129" s="219">
        <v>0</v>
      </c>
      <c r="I129" s="219">
        <v>0</v>
      </c>
      <c r="J129" s="219">
        <v>0</v>
      </c>
    </row>
    <row r="130" spans="2:10" ht="22.5" x14ac:dyDescent="0.2">
      <c r="B130" s="217" t="s">
        <v>178</v>
      </c>
      <c r="C130" s="235" t="s">
        <v>179</v>
      </c>
      <c r="D130" s="236" t="s">
        <v>31</v>
      </c>
      <c r="E130" s="219">
        <v>0</v>
      </c>
      <c r="F130" s="237">
        <v>0</v>
      </c>
      <c r="I130" s="219">
        <v>0</v>
      </c>
      <c r="J130" s="237">
        <v>0</v>
      </c>
    </row>
    <row r="131" spans="2:10" ht="33.75" x14ac:dyDescent="0.2">
      <c r="B131" s="217" t="s">
        <v>180</v>
      </c>
      <c r="C131" s="235" t="s">
        <v>181</v>
      </c>
      <c r="D131" s="236" t="s">
        <v>31</v>
      </c>
      <c r="E131" s="219">
        <v>0</v>
      </c>
      <c r="F131" s="219">
        <v>0</v>
      </c>
      <c r="I131" s="219">
        <v>0</v>
      </c>
      <c r="J131" s="219">
        <v>0</v>
      </c>
    </row>
    <row r="132" spans="2:10" ht="22.5" x14ac:dyDescent="0.2">
      <c r="B132" s="217" t="s">
        <v>182</v>
      </c>
      <c r="C132" s="235" t="s">
        <v>183</v>
      </c>
      <c r="D132" s="236" t="s">
        <v>31</v>
      </c>
      <c r="E132" s="219">
        <v>0</v>
      </c>
      <c r="F132" s="219">
        <v>0</v>
      </c>
      <c r="I132" s="219">
        <v>0</v>
      </c>
      <c r="J132" s="219">
        <v>0</v>
      </c>
    </row>
    <row r="133" spans="2:10" x14ac:dyDescent="0.2">
      <c r="B133" s="217" t="s">
        <v>184</v>
      </c>
      <c r="C133" s="235" t="s">
        <v>185</v>
      </c>
      <c r="D133" s="236" t="s">
        <v>31</v>
      </c>
      <c r="E133" s="219">
        <v>0</v>
      </c>
      <c r="F133" s="237">
        <v>0</v>
      </c>
      <c r="I133" s="219">
        <v>0</v>
      </c>
      <c r="J133" s="237">
        <v>0</v>
      </c>
    </row>
    <row r="134" spans="2:10" x14ac:dyDescent="0.2">
      <c r="B134" s="217" t="s">
        <v>186</v>
      </c>
      <c r="C134" s="235" t="s">
        <v>187</v>
      </c>
      <c r="D134" s="236" t="s">
        <v>31</v>
      </c>
      <c r="E134" s="219">
        <v>0</v>
      </c>
      <c r="F134" s="219">
        <v>0</v>
      </c>
      <c r="I134" s="219">
        <v>0</v>
      </c>
      <c r="J134" s="219">
        <v>0</v>
      </c>
    </row>
    <row r="135" spans="2:10" x14ac:dyDescent="0.2">
      <c r="B135" s="217" t="s">
        <v>188</v>
      </c>
      <c r="C135" s="235" t="s">
        <v>189</v>
      </c>
      <c r="D135" s="236" t="s">
        <v>31</v>
      </c>
      <c r="E135" s="219">
        <v>0</v>
      </c>
      <c r="F135" s="219">
        <v>0</v>
      </c>
      <c r="I135" s="219">
        <v>0</v>
      </c>
      <c r="J135" s="219">
        <v>0</v>
      </c>
    </row>
    <row r="136" spans="2:10" x14ac:dyDescent="0.2">
      <c r="B136" s="256" t="s">
        <v>545</v>
      </c>
      <c r="C136" s="257" t="s">
        <v>34</v>
      </c>
      <c r="D136" s="258" t="s">
        <v>31</v>
      </c>
      <c r="E136" s="259">
        <v>0</v>
      </c>
      <c r="F136" s="260">
        <v>0</v>
      </c>
      <c r="I136" s="259">
        <v>0</v>
      </c>
      <c r="J136" s="260">
        <v>0</v>
      </c>
    </row>
    <row r="137" spans="2:10" x14ac:dyDescent="0.2">
      <c r="B137" s="209">
        <v>4</v>
      </c>
      <c r="C137" s="261" t="s">
        <v>191</v>
      </c>
      <c r="D137" s="249" t="s">
        <v>31</v>
      </c>
      <c r="E137" s="250">
        <v>0</v>
      </c>
      <c r="F137" s="251">
        <v>0</v>
      </c>
      <c r="I137" s="250">
        <v>0</v>
      </c>
      <c r="J137" s="251">
        <v>0</v>
      </c>
    </row>
    <row r="138" spans="2:10" ht="45" x14ac:dyDescent="0.2">
      <c r="B138" s="217" t="s">
        <v>192</v>
      </c>
      <c r="C138" s="235" t="s">
        <v>546</v>
      </c>
      <c r="D138" s="236" t="s">
        <v>31</v>
      </c>
      <c r="E138" s="238">
        <v>0</v>
      </c>
      <c r="F138" s="237">
        <v>0</v>
      </c>
      <c r="I138" s="238">
        <v>0</v>
      </c>
      <c r="J138" s="237">
        <v>0</v>
      </c>
    </row>
    <row r="139" spans="2:10" x14ac:dyDescent="0.2">
      <c r="B139" s="209">
        <v>5</v>
      </c>
      <c r="C139" s="261" t="s">
        <v>194</v>
      </c>
      <c r="D139" s="249" t="s">
        <v>31</v>
      </c>
      <c r="E139" s="250">
        <v>0</v>
      </c>
      <c r="F139" s="251">
        <v>0</v>
      </c>
      <c r="I139" s="250">
        <v>0</v>
      </c>
      <c r="J139" s="251">
        <v>0</v>
      </c>
    </row>
    <row r="140" spans="2:10" x14ac:dyDescent="0.2">
      <c r="B140" s="217" t="s">
        <v>195</v>
      </c>
      <c r="C140" s="235" t="s">
        <v>196</v>
      </c>
      <c r="D140" s="236" t="s">
        <v>31</v>
      </c>
      <c r="E140" s="238">
        <v>0</v>
      </c>
      <c r="F140" s="237">
        <v>0</v>
      </c>
      <c r="I140" s="238">
        <v>0</v>
      </c>
      <c r="J140" s="237">
        <v>0</v>
      </c>
    </row>
    <row r="141" spans="2:10" ht="22.5" x14ac:dyDescent="0.2">
      <c r="B141" s="217" t="s">
        <v>197</v>
      </c>
      <c r="C141" s="235" t="s">
        <v>198</v>
      </c>
      <c r="D141" s="236" t="s">
        <v>31</v>
      </c>
      <c r="E141" s="238">
        <v>0</v>
      </c>
      <c r="F141" s="237">
        <v>0</v>
      </c>
      <c r="I141" s="238">
        <v>0</v>
      </c>
      <c r="J141" s="237">
        <v>0</v>
      </c>
    </row>
    <row r="142" spans="2:10" ht="22.5" x14ac:dyDescent="0.2">
      <c r="B142" s="213" t="s">
        <v>199</v>
      </c>
      <c r="C142" s="248" t="s">
        <v>200</v>
      </c>
      <c r="D142" s="249" t="s">
        <v>31</v>
      </c>
      <c r="E142" s="250">
        <v>0</v>
      </c>
      <c r="F142" s="250">
        <v>0</v>
      </c>
      <c r="I142" s="250">
        <v>0</v>
      </c>
      <c r="J142" s="250">
        <v>0</v>
      </c>
    </row>
    <row r="143" spans="2:10" x14ac:dyDescent="0.2">
      <c r="B143" s="213" t="s">
        <v>201</v>
      </c>
      <c r="C143" s="248" t="s">
        <v>202</v>
      </c>
      <c r="D143" s="249" t="s">
        <v>31</v>
      </c>
      <c r="E143" s="215">
        <v>0</v>
      </c>
      <c r="F143" s="215">
        <v>0</v>
      </c>
      <c r="I143" s="215">
        <v>0</v>
      </c>
      <c r="J143" s="215">
        <v>0</v>
      </c>
    </row>
    <row r="144" spans="2:10" ht="22.5" x14ac:dyDescent="0.2">
      <c r="B144" s="217" t="s">
        <v>203</v>
      </c>
      <c r="C144" s="235" t="s">
        <v>547</v>
      </c>
      <c r="D144" s="262"/>
      <c r="E144" s="219">
        <v>0</v>
      </c>
      <c r="F144" s="219">
        <v>0</v>
      </c>
      <c r="I144" s="219">
        <v>0</v>
      </c>
      <c r="J144" s="219">
        <v>0</v>
      </c>
    </row>
    <row r="145" spans="2:10" ht="56.25" x14ac:dyDescent="0.2">
      <c r="B145" s="217" t="s">
        <v>205</v>
      </c>
      <c r="C145" s="235" t="s">
        <v>206</v>
      </c>
      <c r="D145" s="262"/>
      <c r="E145" s="219">
        <v>0</v>
      </c>
      <c r="F145" s="219">
        <v>0</v>
      </c>
      <c r="I145" s="219">
        <v>0</v>
      </c>
      <c r="J145" s="219">
        <v>0</v>
      </c>
    </row>
    <row r="146" spans="2:10" ht="22.5" x14ac:dyDescent="0.2">
      <c r="B146" s="217" t="s">
        <v>207</v>
      </c>
      <c r="C146" s="235" t="s">
        <v>208</v>
      </c>
      <c r="D146" s="262"/>
      <c r="E146" s="219">
        <v>0</v>
      </c>
      <c r="F146" s="219">
        <v>0</v>
      </c>
      <c r="I146" s="219">
        <v>0</v>
      </c>
      <c r="J146" s="219">
        <v>0</v>
      </c>
    </row>
    <row r="147" spans="2:10" ht="33.75" x14ac:dyDescent="0.2">
      <c r="B147" s="217" t="s">
        <v>209</v>
      </c>
      <c r="C147" s="235" t="s">
        <v>210</v>
      </c>
      <c r="D147" s="262"/>
      <c r="E147" s="219">
        <v>0</v>
      </c>
      <c r="F147" s="219">
        <v>0</v>
      </c>
      <c r="I147" s="219">
        <v>0</v>
      </c>
      <c r="J147" s="219">
        <v>0</v>
      </c>
    </row>
    <row r="148" spans="2:10" ht="22.5" x14ac:dyDescent="0.2">
      <c r="B148" s="217" t="s">
        <v>211</v>
      </c>
      <c r="C148" s="235" t="s">
        <v>212</v>
      </c>
      <c r="D148" s="262"/>
      <c r="E148" s="219">
        <v>0</v>
      </c>
      <c r="F148" s="219">
        <v>0</v>
      </c>
      <c r="I148" s="219">
        <v>0</v>
      </c>
      <c r="J148" s="219">
        <v>0</v>
      </c>
    </row>
    <row r="149" spans="2:10" ht="22.5" x14ac:dyDescent="0.2">
      <c r="B149" s="217" t="s">
        <v>213</v>
      </c>
      <c r="C149" s="235" t="s">
        <v>214</v>
      </c>
      <c r="D149" s="262"/>
      <c r="E149" s="219">
        <v>0</v>
      </c>
      <c r="F149" s="219">
        <v>0</v>
      </c>
      <c r="I149" s="219">
        <v>0</v>
      </c>
      <c r="J149" s="219">
        <v>0</v>
      </c>
    </row>
    <row r="150" spans="2:10" x14ac:dyDescent="0.2">
      <c r="B150" s="213" t="s">
        <v>224</v>
      </c>
      <c r="C150" s="261" t="s">
        <v>225</v>
      </c>
      <c r="D150" s="249" t="s">
        <v>31</v>
      </c>
      <c r="E150" s="251">
        <v>404.01499999999999</v>
      </c>
      <c r="F150" s="251">
        <v>352.94836288079944</v>
      </c>
      <c r="I150" s="251">
        <v>396.20876354144002</v>
      </c>
      <c r="J150" s="251">
        <v>20.266229578227726</v>
      </c>
    </row>
    <row r="151" spans="2:10" ht="22.5" x14ac:dyDescent="0.2">
      <c r="B151" s="213" t="s">
        <v>226</v>
      </c>
      <c r="C151" s="263" t="str">
        <f>"Тариф на " &amp; tariftype &amp; ""</f>
        <v>Тариф на питьевую воду (питьевое водоснабжение)</v>
      </c>
      <c r="D151" s="249" t="s">
        <v>227</v>
      </c>
      <c r="E151" s="251">
        <v>407.07416232990926</v>
      </c>
      <c r="F151" s="251">
        <v>344.97866574476393</v>
      </c>
      <c r="I151" s="251">
        <v>399.2088178072616</v>
      </c>
      <c r="J151" s="251">
        <v>24.35757073450203</v>
      </c>
    </row>
  </sheetData>
  <mergeCells count="17">
    <mergeCell ref="B54:B55"/>
    <mergeCell ref="C54:C55"/>
    <mergeCell ref="B29:B30"/>
    <mergeCell ref="C29:C30"/>
    <mergeCell ref="B46:B47"/>
    <mergeCell ref="C46:C47"/>
    <mergeCell ref="I3:J3"/>
    <mergeCell ref="I4:I5"/>
    <mergeCell ref="J4:J5"/>
    <mergeCell ref="B24:B25"/>
    <mergeCell ref="C24:C25"/>
    <mergeCell ref="B3:B5"/>
    <mergeCell ref="C3:C5"/>
    <mergeCell ref="D3:D5"/>
    <mergeCell ref="E3:F3"/>
    <mergeCell ref="E4:E5"/>
    <mergeCell ref="F4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55292-AA89-4458-B5FB-D1CD47094404}">
  <sheetPr>
    <pageSetUpPr fitToPage="1"/>
  </sheetPr>
  <dimension ref="B6:L22"/>
  <sheetViews>
    <sheetView workbookViewId="0">
      <selection activeCell="D10" sqref="D10"/>
    </sheetView>
  </sheetViews>
  <sheetFormatPr defaultRowHeight="12.75" x14ac:dyDescent="0.2"/>
  <cols>
    <col min="3" max="3" width="41.28515625" customWidth="1"/>
    <col min="4" max="4" width="9.42578125" customWidth="1"/>
    <col min="10" max="10" width="11.7109375" customWidth="1"/>
  </cols>
  <sheetData>
    <row r="6" spans="2:12" x14ac:dyDescent="0.2">
      <c r="D6" t="s">
        <v>525</v>
      </c>
      <c r="E6" s="208" t="s">
        <v>526</v>
      </c>
      <c r="F6" s="208" t="s">
        <v>527</v>
      </c>
      <c r="G6" t="s">
        <v>528</v>
      </c>
      <c r="H6" t="s">
        <v>529</v>
      </c>
      <c r="I6" t="s">
        <v>530</v>
      </c>
      <c r="J6" s="208" t="s">
        <v>531</v>
      </c>
      <c r="K6" t="s">
        <v>532</v>
      </c>
      <c r="L6" t="s">
        <v>533</v>
      </c>
    </row>
    <row r="8" spans="2:12" x14ac:dyDescent="0.2">
      <c r="B8">
        <v>40301</v>
      </c>
      <c r="C8" t="s">
        <v>524</v>
      </c>
      <c r="D8">
        <v>34.978999999999999</v>
      </c>
      <c r="E8">
        <v>22.327999999999999</v>
      </c>
      <c r="F8">
        <v>0.29399999999999998</v>
      </c>
      <c r="G8">
        <v>4.2709999999999999</v>
      </c>
      <c r="H8">
        <v>4.1139999999999999</v>
      </c>
      <c r="I8">
        <v>2.012</v>
      </c>
      <c r="J8">
        <v>2.0840000000000001</v>
      </c>
      <c r="K8">
        <f>SUM(E8:J8)</f>
        <v>35.103000000000002</v>
      </c>
      <c r="L8">
        <f>K8-D8</f>
        <v>0.12400000000000233</v>
      </c>
    </row>
    <row r="9" spans="2:12" x14ac:dyDescent="0.2">
      <c r="B9">
        <v>40302</v>
      </c>
      <c r="C9" t="s">
        <v>534</v>
      </c>
      <c r="D9">
        <v>188.679</v>
      </c>
      <c r="E9">
        <v>57.494999999999997</v>
      </c>
      <c r="F9">
        <v>4.0380000000000003</v>
      </c>
      <c r="G9">
        <v>50.073999999999998</v>
      </c>
      <c r="H9">
        <v>48.15</v>
      </c>
      <c r="I9">
        <v>24.898</v>
      </c>
      <c r="J9">
        <v>4.242</v>
      </c>
      <c r="K9">
        <f>SUM(E9:J9)</f>
        <v>188.89699999999999</v>
      </c>
      <c r="L9">
        <f t="shared" ref="L9:L16" si="0">K9-D9</f>
        <v>0.21799999999998931</v>
      </c>
    </row>
    <row r="10" spans="2:12" x14ac:dyDescent="0.2">
      <c r="B10">
        <v>40303</v>
      </c>
      <c r="C10" t="s">
        <v>535</v>
      </c>
      <c r="D10">
        <v>157.02000000000001</v>
      </c>
      <c r="E10">
        <v>55.344000000000001</v>
      </c>
      <c r="F10">
        <v>3.294</v>
      </c>
      <c r="G10">
        <v>38.476999999999997</v>
      </c>
      <c r="H10">
        <v>37.234999999999999</v>
      </c>
      <c r="I10">
        <v>19.321999999999999</v>
      </c>
      <c r="J10">
        <v>3.5350000000000001</v>
      </c>
      <c r="K10">
        <f t="shared" ref="K10:K16" si="1">SUM(E10:J10)</f>
        <v>157.20699999999999</v>
      </c>
      <c r="L10">
        <f t="shared" si="0"/>
        <v>0.1869999999999834</v>
      </c>
    </row>
    <row r="11" spans="2:12" x14ac:dyDescent="0.2">
      <c r="B11">
        <v>40304</v>
      </c>
      <c r="C11" t="s">
        <v>536</v>
      </c>
      <c r="D11">
        <v>58.863</v>
      </c>
      <c r="E11">
        <v>35.353000000000002</v>
      </c>
      <c r="F11">
        <v>0.96199999999999997</v>
      </c>
      <c r="G11">
        <v>8.7929999999999993</v>
      </c>
      <c r="H11">
        <v>8.4939999999999998</v>
      </c>
      <c r="I11">
        <v>4.2830000000000004</v>
      </c>
      <c r="J11">
        <v>1.4139999999999999</v>
      </c>
      <c r="K11">
        <f t="shared" si="1"/>
        <v>59.299000000000007</v>
      </c>
      <c r="L11">
        <f t="shared" si="0"/>
        <v>0.43600000000000705</v>
      </c>
    </row>
    <row r="12" spans="2:12" x14ac:dyDescent="0.2">
      <c r="B12">
        <v>40305</v>
      </c>
      <c r="C12" t="s">
        <v>537</v>
      </c>
      <c r="D12">
        <v>210.00700000000001</v>
      </c>
      <c r="E12">
        <v>69.382999999999996</v>
      </c>
      <c r="F12">
        <v>7.306</v>
      </c>
      <c r="G12">
        <v>54.722000000000001</v>
      </c>
      <c r="H12">
        <v>52.505000000000003</v>
      </c>
      <c r="I12">
        <v>26.141999999999999</v>
      </c>
      <c r="J12">
        <v>3.5350000000000001</v>
      </c>
      <c r="K12">
        <f t="shared" si="1"/>
        <v>213.59299999999999</v>
      </c>
      <c r="L12">
        <f t="shared" si="0"/>
        <v>3.5859999999999843</v>
      </c>
    </row>
    <row r="15" spans="2:12" x14ac:dyDescent="0.2">
      <c r="C15" t="s">
        <v>538</v>
      </c>
      <c r="D15">
        <f>SUM(D8:D12)</f>
        <v>649.548</v>
      </c>
      <c r="E15" s="208">
        <f t="shared" ref="E15:J15" si="2">SUM(E8:E12)</f>
        <v>239.90300000000002</v>
      </c>
      <c r="F15" s="208">
        <f t="shared" si="2"/>
        <v>15.893999999999998</v>
      </c>
      <c r="G15">
        <f t="shared" si="2"/>
        <v>156.33700000000002</v>
      </c>
      <c r="H15">
        <f t="shared" si="2"/>
        <v>150.49799999999999</v>
      </c>
      <c r="I15">
        <f t="shared" si="2"/>
        <v>76.656999999999996</v>
      </c>
      <c r="J15" s="208">
        <f t="shared" si="2"/>
        <v>14.81</v>
      </c>
      <c r="K15">
        <f>SUM(E15:J15)</f>
        <v>654.09900000000005</v>
      </c>
      <c r="L15">
        <f t="shared" si="0"/>
        <v>4.5510000000000446</v>
      </c>
    </row>
    <row r="16" spans="2:12" x14ac:dyDescent="0.2">
      <c r="K16">
        <f t="shared" si="1"/>
        <v>0</v>
      </c>
      <c r="L16">
        <f t="shared" si="0"/>
        <v>0</v>
      </c>
    </row>
    <row r="17" spans="4:12" x14ac:dyDescent="0.2">
      <c r="K17" s="208">
        <f>E15+F15+J15</f>
        <v>270.60700000000003</v>
      </c>
      <c r="L17">
        <f>K17/5</f>
        <v>54.121400000000008</v>
      </c>
    </row>
    <row r="18" spans="4:12" x14ac:dyDescent="0.2">
      <c r="D18">
        <f>D15/5</f>
        <v>129.90960000000001</v>
      </c>
    </row>
    <row r="20" spans="4:12" x14ac:dyDescent="0.2">
      <c r="E20">
        <f>E15+F15+G15+J15</f>
        <v>426.94400000000002</v>
      </c>
    </row>
    <row r="22" spans="4:12" x14ac:dyDescent="0.2">
      <c r="E22">
        <f>E20/5</f>
        <v>85.388800000000003</v>
      </c>
    </row>
  </sheetData>
  <pageMargins left="0.7" right="0.7" top="0.75" bottom="0.75" header="0.3" footer="0.3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E2EDA-E536-459D-A514-4ABAAD68147A}">
  <sheetPr codeName="Лист2">
    <pageSetUpPr fitToPage="1"/>
  </sheetPr>
  <dimension ref="A1:Q94"/>
  <sheetViews>
    <sheetView view="pageBreakPreview" topLeftCell="E1" zoomScaleNormal="100" zoomScaleSheetLayoutView="100" workbookViewId="0">
      <selection activeCell="F8" sqref="F8:M8"/>
    </sheetView>
  </sheetViews>
  <sheetFormatPr defaultRowHeight="12" outlineLevelCol="1" x14ac:dyDescent="0.2"/>
  <cols>
    <col min="1" max="3" width="10.7109375" style="133" hidden="1" customWidth="1"/>
    <col min="4" max="4" width="4.140625" style="133" hidden="1" customWidth="1"/>
    <col min="5" max="5" width="9.5703125" style="133" customWidth="1"/>
    <col min="6" max="6" width="10.42578125" style="133" customWidth="1"/>
    <col min="7" max="7" width="63.5703125" style="133" customWidth="1"/>
    <col min="8" max="8" width="13.5703125" style="133" customWidth="1"/>
    <col min="9" max="11" width="10.5703125" style="133" customWidth="1"/>
    <col min="12" max="13" width="10.5703125" style="133" customWidth="1" outlineLevel="1"/>
    <col min="14" max="14" width="23.5703125" style="133" customWidth="1"/>
    <col min="15" max="15" width="9.7109375" style="133" customWidth="1"/>
    <col min="16" max="16384" width="9.140625" style="133"/>
  </cols>
  <sheetData>
    <row r="1" spans="2:14" ht="31.5" customHeight="1" x14ac:dyDescent="0.2">
      <c r="J1" s="133" t="s">
        <v>491</v>
      </c>
    </row>
    <row r="2" spans="2:14" ht="4.5" customHeight="1" x14ac:dyDescent="0.2"/>
    <row r="3" spans="2:14" ht="4.5" customHeight="1" x14ac:dyDescent="0.2"/>
    <row r="4" spans="2:14" ht="4.5" customHeight="1" x14ac:dyDescent="0.2"/>
    <row r="5" spans="2:14" ht="4.5" customHeight="1" x14ac:dyDescent="0.2"/>
    <row r="6" spans="2:14" ht="4.5" customHeight="1" x14ac:dyDescent="0.2"/>
    <row r="7" spans="2:14" ht="3.75" customHeight="1" x14ac:dyDescent="0.2"/>
    <row r="8" spans="2:14" ht="18" customHeight="1" x14ac:dyDescent="0.2">
      <c r="F8" s="701" t="s">
        <v>556</v>
      </c>
      <c r="G8" s="701"/>
      <c r="H8" s="701"/>
      <c r="I8" s="701"/>
      <c r="J8" s="701"/>
      <c r="K8" s="701"/>
      <c r="L8" s="701"/>
      <c r="M8" s="701"/>
      <c r="N8" s="134"/>
    </row>
    <row r="9" spans="2:14" ht="15.75" customHeight="1" x14ac:dyDescent="0.2">
      <c r="D9" s="159"/>
      <c r="F9" s="692" t="s">
        <v>420</v>
      </c>
      <c r="G9" s="692"/>
      <c r="H9" s="692"/>
      <c r="I9" s="692"/>
      <c r="J9" s="692"/>
      <c r="K9" s="692"/>
      <c r="L9" s="692"/>
      <c r="M9" s="692"/>
    </row>
    <row r="10" spans="2:14" ht="15.75" customHeight="1" x14ac:dyDescent="0.2">
      <c r="D10" s="159"/>
      <c r="F10" s="688" t="s">
        <v>421</v>
      </c>
      <c r="G10" s="689"/>
      <c r="H10" s="702" t="s">
        <v>557</v>
      </c>
      <c r="I10" s="702"/>
      <c r="J10" s="702"/>
      <c r="K10" s="702"/>
      <c r="L10" s="702"/>
      <c r="M10" s="702"/>
    </row>
    <row r="11" spans="2:14" ht="24.75" customHeight="1" x14ac:dyDescent="0.2">
      <c r="D11" s="159"/>
      <c r="F11" s="690" t="s">
        <v>422</v>
      </c>
      <c r="G11" s="691"/>
      <c r="H11" s="702" t="s">
        <v>553</v>
      </c>
      <c r="I11" s="702"/>
      <c r="J11" s="702"/>
      <c r="K11" s="702"/>
      <c r="L11" s="702"/>
      <c r="M11" s="702"/>
    </row>
    <row r="12" spans="2:14" ht="15.75" customHeight="1" x14ac:dyDescent="0.2">
      <c r="D12" s="159"/>
      <c r="F12" s="688" t="s">
        <v>423</v>
      </c>
      <c r="G12" s="689"/>
      <c r="H12" s="702" t="s">
        <v>450</v>
      </c>
      <c r="I12" s="702"/>
      <c r="J12" s="702"/>
      <c r="K12" s="702"/>
      <c r="L12" s="702"/>
      <c r="M12" s="702"/>
    </row>
    <row r="13" spans="2:14" ht="15.75" customHeight="1" x14ac:dyDescent="0.2">
      <c r="D13" s="159"/>
      <c r="F13" s="690" t="s">
        <v>422</v>
      </c>
      <c r="G13" s="691"/>
      <c r="H13" s="702" t="s">
        <v>502</v>
      </c>
      <c r="I13" s="702"/>
      <c r="J13" s="702"/>
      <c r="K13" s="702"/>
      <c r="L13" s="702"/>
      <c r="M13" s="702"/>
    </row>
    <row r="14" spans="2:14" ht="15.75" customHeight="1" x14ac:dyDescent="0.2">
      <c r="D14" s="159"/>
      <c r="F14" s="688" t="s">
        <v>424</v>
      </c>
      <c r="G14" s="688"/>
      <c r="H14" s="740" t="s">
        <v>554</v>
      </c>
      <c r="I14" s="740"/>
      <c r="J14" s="740"/>
      <c r="K14" s="740"/>
      <c r="L14" s="740"/>
      <c r="M14" s="740"/>
    </row>
    <row r="15" spans="2:14" ht="36.75" customHeight="1" x14ac:dyDescent="0.2">
      <c r="B15" s="135" t="b">
        <f>REGULATION_METHODS&lt;&gt;"Метод сравнения аналогов"</f>
        <v>1</v>
      </c>
      <c r="D15" s="159"/>
      <c r="F15" s="693" t="s">
        <v>425</v>
      </c>
      <c r="G15" s="693"/>
      <c r="H15" s="693"/>
      <c r="I15" s="693"/>
      <c r="J15" s="693"/>
      <c r="K15" s="693"/>
      <c r="L15" s="693"/>
      <c r="M15" s="693"/>
    </row>
    <row r="16" spans="2:14" ht="11.25" customHeight="1" x14ac:dyDescent="0.2">
      <c r="B16" s="135" t="e">
        <f>#REF!</f>
        <v>#REF!</v>
      </c>
      <c r="D16" s="159"/>
      <c r="F16" s="694" t="s">
        <v>426</v>
      </c>
      <c r="G16" s="695" t="s">
        <v>427</v>
      </c>
      <c r="H16" s="697" t="s">
        <v>428</v>
      </c>
      <c r="I16" s="699" t="s">
        <v>429</v>
      </c>
      <c r="J16" s="700"/>
      <c r="K16" s="700"/>
      <c r="L16" s="700"/>
      <c r="M16" s="700"/>
    </row>
    <row r="17" spans="2:14" ht="11.25" customHeight="1" x14ac:dyDescent="0.2">
      <c r="B17" s="135" t="b">
        <f>B15</f>
        <v>1</v>
      </c>
      <c r="D17" s="159"/>
      <c r="F17" s="694"/>
      <c r="G17" s="696"/>
      <c r="H17" s="698"/>
      <c r="I17" s="185" t="s">
        <v>485</v>
      </c>
      <c r="J17" s="185" t="s">
        <v>486</v>
      </c>
      <c r="K17" s="185" t="s">
        <v>487</v>
      </c>
      <c r="L17" s="186" t="s">
        <v>488</v>
      </c>
      <c r="M17" s="154" t="s">
        <v>516</v>
      </c>
    </row>
    <row r="18" spans="2:14" ht="26.25" customHeight="1" x14ac:dyDescent="0.2">
      <c r="B18" s="135" t="e">
        <f>#REF!</f>
        <v>#REF!</v>
      </c>
      <c r="D18" s="159"/>
      <c r="F18" s="155">
        <v>1</v>
      </c>
      <c r="G18" s="152" t="s">
        <v>505</v>
      </c>
      <c r="H18" s="153" t="s">
        <v>106</v>
      </c>
      <c r="I18" s="172">
        <f>'Расчет тарифа мет. инд. 5 лет'!W26+'Расчет тарифа мет. инд. 5 лет'!W30+'Расчет тарифа мет. инд. 5 лет'!W31+'Расчет тарифа мет. инд. 5 лет'!W50</f>
        <v>320.43985263902442</v>
      </c>
      <c r="J18" s="172">
        <f>'Расчет тарифа мет. инд. 5 лет'!AB26+'Расчет тарифа мет. инд. 5 лет'!AB30+'Расчет тарифа мет. инд. 5 лет'!AB31+'Расчет тарифа мет. инд. 5 лет'!AB50</f>
        <v>330.87657863947743</v>
      </c>
      <c r="K18" s="172">
        <f>'Расчет тарифа мет. инд. 5 лет'!AG26+'Расчет тарифа мет. инд. 5 лет'!AG30+'Расчет тарифа мет. инд. 5 лет'!AG31+'Расчет тарифа мет. инд. 5 лет'!AG50</f>
        <v>340.67052536720598</v>
      </c>
      <c r="L18" s="172">
        <f>'Расчет тарифа мет. инд. 5 лет'!AL26+'Расчет тарифа мет. инд. 5 лет'!AL30+'Расчет тарифа мет. инд. 5 лет'!AL31+'Расчет тарифа мет. инд. 5 лет'!AL50</f>
        <v>350.75437291807526</v>
      </c>
      <c r="M18" s="172">
        <f>'Расчет тарифа мет. инд. 5 лет'!AQ26+'Расчет тарифа мет. инд. 5 лет'!AQ30+'Расчет тарифа мет. инд. 5 лет'!AQ31+'Расчет тарифа мет. инд. 5 лет'!AQ50</f>
        <v>361.13670235645031</v>
      </c>
      <c r="N18" s="133" t="s">
        <v>483</v>
      </c>
    </row>
    <row r="19" spans="2:14" ht="36.75" customHeight="1" x14ac:dyDescent="0.2">
      <c r="B19" s="135"/>
      <c r="D19" s="159"/>
      <c r="F19" s="155" t="s">
        <v>102</v>
      </c>
      <c r="G19" s="147" t="s">
        <v>506</v>
      </c>
      <c r="H19" s="153" t="s">
        <v>106</v>
      </c>
      <c r="I19" s="172">
        <v>0</v>
      </c>
      <c r="J19" s="172">
        <v>0</v>
      </c>
      <c r="K19" s="172">
        <v>0</v>
      </c>
      <c r="L19" s="172">
        <v>0</v>
      </c>
      <c r="M19" s="173">
        <f>'Расчет тарифа мет. инд. 5 лет'!AQ37</f>
        <v>13.718325034216434</v>
      </c>
    </row>
    <row r="20" spans="2:14" ht="27" customHeight="1" x14ac:dyDescent="0.2">
      <c r="B20" s="135" t="e">
        <f>B18</f>
        <v>#REF!</v>
      </c>
      <c r="D20" s="159"/>
      <c r="F20" s="155" t="s">
        <v>120</v>
      </c>
      <c r="G20" s="152" t="s">
        <v>459</v>
      </c>
      <c r="H20" s="153" t="s">
        <v>106</v>
      </c>
      <c r="I20" s="172">
        <f>'Расчет тарифа мет. инд. 5 лет'!W47</f>
        <v>0</v>
      </c>
      <c r="J20" s="172">
        <f>'Расчет тарифа мет. инд. 5 лет'!AB47</f>
        <v>0</v>
      </c>
      <c r="K20" s="172">
        <f>'Расчет тарифа мет. инд. 5 лет'!AG47</f>
        <v>0</v>
      </c>
      <c r="L20" s="172">
        <f>'Расчет тарифа мет. инд. 5 лет'!AL47</f>
        <v>0</v>
      </c>
      <c r="M20" s="172">
        <f>'Расчет тарифа мет. инд. 5 лет'!AQ47</f>
        <v>0</v>
      </c>
      <c r="N20" s="136" t="s">
        <v>458</v>
      </c>
    </row>
    <row r="21" spans="2:14" ht="14.25" customHeight="1" x14ac:dyDescent="0.2">
      <c r="B21" s="135" t="b">
        <v>1</v>
      </c>
      <c r="D21" s="159"/>
      <c r="F21" s="692" t="s">
        <v>476</v>
      </c>
      <c r="G21" s="692"/>
      <c r="H21" s="692"/>
      <c r="I21" s="692"/>
      <c r="J21" s="692"/>
      <c r="K21" s="692"/>
      <c r="L21" s="692"/>
      <c r="M21" s="692"/>
    </row>
    <row r="22" spans="2:14" ht="11.25" customHeight="1" x14ac:dyDescent="0.2">
      <c r="B22" s="135" t="e">
        <f>#REF!</f>
        <v>#REF!</v>
      </c>
      <c r="C22" s="135" t="e">
        <f>INDEX([2]Тарифы!$AC$86:$AC$99,MATCH(#REF!,[2]Тарифы!$Y$86:$Y$99,0))</f>
        <v>#REF!</v>
      </c>
      <c r="D22" s="159"/>
      <c r="F22" s="704" t="s">
        <v>426</v>
      </c>
      <c r="G22" s="705" t="s">
        <v>430</v>
      </c>
      <c r="H22" s="694" t="s">
        <v>428</v>
      </c>
      <c r="I22" s="699" t="s">
        <v>431</v>
      </c>
      <c r="J22" s="700"/>
      <c r="K22" s="700"/>
      <c r="L22" s="700"/>
      <c r="M22" s="707"/>
    </row>
    <row r="23" spans="2:14" ht="11.25" customHeight="1" x14ac:dyDescent="0.2">
      <c r="B23" s="135" t="e">
        <f>B22</f>
        <v>#REF!</v>
      </c>
      <c r="D23" s="159"/>
      <c r="F23" s="704"/>
      <c r="G23" s="706"/>
      <c r="H23" s="694"/>
      <c r="I23" s="194" t="s">
        <v>485</v>
      </c>
      <c r="J23" s="194" t="s">
        <v>486</v>
      </c>
      <c r="K23" s="194" t="s">
        <v>487</v>
      </c>
      <c r="L23" s="201" t="s">
        <v>488</v>
      </c>
      <c r="M23" s="201" t="s">
        <v>516</v>
      </c>
    </row>
    <row r="24" spans="2:14" ht="22.5" customHeight="1" x14ac:dyDescent="0.2">
      <c r="B24" s="135" t="e">
        <f>B23</f>
        <v>#REF!</v>
      </c>
      <c r="D24" s="160">
        <f>'[2]Объемы ВО'!G36</f>
        <v>0</v>
      </c>
      <c r="E24" s="164"/>
      <c r="F24" s="155">
        <v>1</v>
      </c>
      <c r="G24" s="152" t="s">
        <v>475</v>
      </c>
      <c r="H24" s="137" t="s">
        <v>432</v>
      </c>
      <c r="I24" s="172">
        <f>I25</f>
        <v>1.0145299999999999</v>
      </c>
      <c r="J24" s="172">
        <f t="shared" ref="J24:M24" si="0">J25</f>
        <v>1.0145299999999999</v>
      </c>
      <c r="K24" s="172">
        <f t="shared" si="0"/>
        <v>1.0145299999999999</v>
      </c>
      <c r="L24" s="172">
        <f t="shared" si="0"/>
        <v>1.0145299999999999</v>
      </c>
      <c r="M24" s="172">
        <f t="shared" si="0"/>
        <v>1.0145299999999999</v>
      </c>
    </row>
    <row r="25" spans="2:14" ht="11.25" customHeight="1" x14ac:dyDescent="0.2">
      <c r="B25" s="135" t="e">
        <f>#REF!</f>
        <v>#REF!</v>
      </c>
      <c r="D25" s="160">
        <f>'[2]Объемы ВО'!$G$40</f>
        <v>0</v>
      </c>
      <c r="E25" s="164"/>
      <c r="F25" s="148">
        <v>2</v>
      </c>
      <c r="G25" s="152" t="s">
        <v>435</v>
      </c>
      <c r="H25" s="137" t="s">
        <v>432</v>
      </c>
      <c r="I25" s="172">
        <f>I26+I27+I28</f>
        <v>1.0145299999999999</v>
      </c>
      <c r="J25" s="172">
        <f t="shared" ref="J25:J28" si="1">I25</f>
        <v>1.0145299999999999</v>
      </c>
      <c r="K25" s="172">
        <f t="shared" ref="K25:K28" si="2">I25</f>
        <v>1.0145299999999999</v>
      </c>
      <c r="L25" s="172">
        <f t="shared" ref="L25:L28" si="3">I25</f>
        <v>1.0145299999999999</v>
      </c>
      <c r="M25" s="172">
        <f t="shared" ref="M25:M28" si="4">I25</f>
        <v>1.0145299999999999</v>
      </c>
    </row>
    <row r="26" spans="2:14" ht="11.25" customHeight="1" x14ac:dyDescent="0.2">
      <c r="B26" s="135" t="e">
        <f>AND(#REF!,REGULATION_METHODS&lt;&gt;"Метод сравнения аналогов")</f>
        <v>#REF!</v>
      </c>
      <c r="D26" s="161" t="s">
        <v>436</v>
      </c>
      <c r="E26" s="165"/>
      <c r="F26" s="155" t="s">
        <v>478</v>
      </c>
      <c r="G26" s="151" t="s">
        <v>437</v>
      </c>
      <c r="H26" s="137" t="s">
        <v>432</v>
      </c>
      <c r="I26" s="172">
        <f>'Расчет тарифа мет. инд. 5 лет'!W19</f>
        <v>0.434</v>
      </c>
      <c r="J26" s="172">
        <f t="shared" si="1"/>
        <v>0.434</v>
      </c>
      <c r="K26" s="172">
        <f t="shared" si="2"/>
        <v>0.434</v>
      </c>
      <c r="L26" s="172">
        <f t="shared" si="3"/>
        <v>0.434</v>
      </c>
      <c r="M26" s="172">
        <f t="shared" si="4"/>
        <v>0.434</v>
      </c>
    </row>
    <row r="27" spans="2:14" ht="11.25" customHeight="1" x14ac:dyDescent="0.2">
      <c r="B27" s="135" t="e">
        <f>B26</f>
        <v>#REF!</v>
      </c>
      <c r="D27" s="161" t="s">
        <v>438</v>
      </c>
      <c r="E27" s="165"/>
      <c r="F27" s="155" t="s">
        <v>492</v>
      </c>
      <c r="G27" s="151" t="s">
        <v>433</v>
      </c>
      <c r="H27" s="137" t="s">
        <v>432</v>
      </c>
      <c r="I27" s="172">
        <f>'Расчет тарифа мет. инд. 5 лет'!W21</f>
        <v>0.58052999999999999</v>
      </c>
      <c r="J27" s="172">
        <f t="shared" si="1"/>
        <v>0.58052999999999999</v>
      </c>
      <c r="K27" s="172">
        <f t="shared" si="2"/>
        <v>0.58052999999999999</v>
      </c>
      <c r="L27" s="172">
        <f t="shared" si="3"/>
        <v>0.58052999999999999</v>
      </c>
      <c r="M27" s="172">
        <f t="shared" si="4"/>
        <v>0.58052999999999999</v>
      </c>
    </row>
    <row r="28" spans="2:14" ht="11.25" customHeight="1" x14ac:dyDescent="0.2">
      <c r="B28" s="135" t="e">
        <f>B27</f>
        <v>#REF!</v>
      </c>
      <c r="D28" s="161" t="s">
        <v>439</v>
      </c>
      <c r="E28" s="165"/>
      <c r="F28" s="155" t="s">
        <v>308</v>
      </c>
      <c r="G28" s="151" t="s">
        <v>434</v>
      </c>
      <c r="H28" s="137" t="s">
        <v>432</v>
      </c>
      <c r="I28" s="172">
        <f>'Расчет тарифа мет. инд. 5 лет'!W20</f>
        <v>0</v>
      </c>
      <c r="J28" s="172">
        <f t="shared" si="1"/>
        <v>0</v>
      </c>
      <c r="K28" s="172">
        <f t="shared" si="2"/>
        <v>0</v>
      </c>
      <c r="L28" s="172">
        <f t="shared" si="3"/>
        <v>0</v>
      </c>
      <c r="M28" s="172">
        <f t="shared" si="4"/>
        <v>0</v>
      </c>
    </row>
    <row r="29" spans="2:14" ht="11.25" hidden="1" customHeight="1" x14ac:dyDescent="0.2">
      <c r="B29" s="135"/>
      <c r="D29" s="161"/>
      <c r="E29" s="165"/>
      <c r="F29" s="155"/>
      <c r="G29" s="151"/>
      <c r="H29" s="137"/>
      <c r="I29" s="172"/>
      <c r="J29" s="172"/>
      <c r="K29" s="172"/>
      <c r="L29" s="172"/>
      <c r="M29" s="172"/>
    </row>
    <row r="30" spans="2:14" ht="16.5" customHeight="1" x14ac:dyDescent="0.2">
      <c r="D30" s="159"/>
      <c r="F30" s="692" t="s">
        <v>462</v>
      </c>
      <c r="G30" s="692"/>
      <c r="H30" s="692"/>
      <c r="I30" s="692"/>
      <c r="J30" s="692"/>
      <c r="K30" s="692"/>
      <c r="L30" s="692"/>
      <c r="M30" s="692"/>
    </row>
    <row r="31" spans="2:14" ht="11.25" customHeight="1" x14ac:dyDescent="0.2">
      <c r="D31" s="159"/>
      <c r="F31" s="703" t="s">
        <v>426</v>
      </c>
      <c r="G31" s="695" t="s">
        <v>440</v>
      </c>
      <c r="H31" s="694" t="s">
        <v>428</v>
      </c>
      <c r="I31" s="699" t="s">
        <v>431</v>
      </c>
      <c r="J31" s="699"/>
      <c r="K31" s="699"/>
      <c r="L31" s="699"/>
      <c r="M31" s="699"/>
    </row>
    <row r="32" spans="2:14" ht="11.25" customHeight="1" x14ac:dyDescent="0.2">
      <c r="D32" s="159"/>
      <c r="F32" s="703"/>
      <c r="G32" s="696"/>
      <c r="H32" s="694"/>
      <c r="I32" s="194" t="s">
        <v>485</v>
      </c>
      <c r="J32" s="194" t="s">
        <v>486</v>
      </c>
      <c r="K32" s="194" t="s">
        <v>487</v>
      </c>
      <c r="L32" s="201" t="s">
        <v>488</v>
      </c>
      <c r="M32" s="201" t="s">
        <v>516</v>
      </c>
    </row>
    <row r="33" spans="2:13" ht="22.5" customHeight="1" x14ac:dyDescent="0.2">
      <c r="D33" s="159"/>
      <c r="F33" s="155" t="s">
        <v>441</v>
      </c>
      <c r="G33" s="152" t="s">
        <v>493</v>
      </c>
      <c r="H33" s="153" t="s">
        <v>106</v>
      </c>
      <c r="I33" s="174">
        <f>'Расчет тарифа мет. инд. 5 лет'!W172</f>
        <v>381.12458088703596</v>
      </c>
      <c r="J33" s="174">
        <f>'Расчет тарифа мет. инд. 5 лет'!AB172</f>
        <v>397.50290101839647</v>
      </c>
      <c r="K33" s="174">
        <f>'Расчет тарифа мет. инд. 5 лет'!AG172</f>
        <v>420.97529500711249</v>
      </c>
      <c r="L33" s="174">
        <f>'Расчет тарифа мет. инд. 5 лет'!AL172</f>
        <v>433.76330376982685</v>
      </c>
      <c r="M33" s="174">
        <f>'Расчет тарифа мет. инд. 5 лет'!AQ172</f>
        <v>457.98186564948128</v>
      </c>
    </row>
    <row r="34" spans="2:13" ht="11.25" customHeight="1" x14ac:dyDescent="0.2">
      <c r="D34" s="159"/>
      <c r="F34" s="155" t="s">
        <v>18</v>
      </c>
      <c r="G34" s="156" t="s">
        <v>30</v>
      </c>
      <c r="H34" s="153" t="s">
        <v>106</v>
      </c>
      <c r="I34" s="174">
        <f>'Расчет тарифа мет. инд. 5 лет'!W25</f>
        <v>402.30772496023371</v>
      </c>
      <c r="J34" s="174">
        <f>'Расчет тарифа мет. инд. 5 лет'!AB25</f>
        <v>415.41088756218846</v>
      </c>
      <c r="K34" s="174">
        <f>'Расчет тарифа мет. инд. 5 лет'!AG25</f>
        <v>427.70704983402936</v>
      </c>
      <c r="L34" s="174">
        <f>'Расчет тарифа мет. инд. 5 лет'!AL25</f>
        <v>440.36717850911657</v>
      </c>
      <c r="M34" s="174">
        <f>'Расчет тарифа мет. инд. 5 лет'!AQ25</f>
        <v>453.40204699298647</v>
      </c>
    </row>
    <row r="35" spans="2:13" ht="11.25" customHeight="1" x14ac:dyDescent="0.2">
      <c r="D35" s="159"/>
      <c r="F35" s="155" t="s">
        <v>20</v>
      </c>
      <c r="G35" s="156" t="s">
        <v>103</v>
      </c>
      <c r="H35" s="153" t="s">
        <v>106</v>
      </c>
      <c r="I35" s="174">
        <f>'Расчет тарифа мет. инд. 5 лет'!W74</f>
        <v>0</v>
      </c>
      <c r="J35" s="174">
        <f>'Расчет тарифа мет. инд. 5 лет'!AB74</f>
        <v>0</v>
      </c>
      <c r="K35" s="174">
        <f>'Расчет тарифа мет. инд. 5 лет'!AG74</f>
        <v>0</v>
      </c>
      <c r="L35" s="174">
        <f>'Расчет тарифа мет. инд. 5 лет'!AL74</f>
        <v>0</v>
      </c>
      <c r="M35" s="174">
        <f>'Расчет тарифа мет. инд. 5 лет'!AQ74</f>
        <v>0</v>
      </c>
    </row>
    <row r="36" spans="2:13" ht="15" customHeight="1" x14ac:dyDescent="0.2">
      <c r="C36" s="135" t="str">
        <f>[2]Тарифы!$X$87</f>
        <v>1ВО::1.1</v>
      </c>
      <c r="D36" s="159"/>
      <c r="F36" s="150" t="s">
        <v>295</v>
      </c>
      <c r="G36" s="152" t="s">
        <v>474</v>
      </c>
      <c r="H36" s="153" t="s">
        <v>106</v>
      </c>
      <c r="I36" s="175">
        <v>0</v>
      </c>
      <c r="J36" s="175">
        <v>0</v>
      </c>
      <c r="K36" s="175">
        <v>0</v>
      </c>
      <c r="L36" s="175">
        <v>0</v>
      </c>
      <c r="M36" s="175">
        <v>0</v>
      </c>
    </row>
    <row r="37" spans="2:13" ht="15" customHeight="1" x14ac:dyDescent="0.2">
      <c r="D37" s="159"/>
      <c r="F37" s="150" t="s">
        <v>314</v>
      </c>
      <c r="G37" s="157" t="s">
        <v>494</v>
      </c>
      <c r="H37" s="153" t="s">
        <v>106</v>
      </c>
      <c r="I37" s="176">
        <f>I33+I36</f>
        <v>381.12458088703596</v>
      </c>
      <c r="J37" s="176">
        <f t="shared" ref="J37:M37" si="5">J33+J36</f>
        <v>397.50290101839647</v>
      </c>
      <c r="K37" s="176">
        <f t="shared" si="5"/>
        <v>420.97529500711249</v>
      </c>
      <c r="L37" s="176">
        <f t="shared" si="5"/>
        <v>433.76330376982685</v>
      </c>
      <c r="M37" s="176">
        <f t="shared" si="5"/>
        <v>457.98186564948128</v>
      </c>
    </row>
    <row r="38" spans="2:13" ht="18" customHeight="1" x14ac:dyDescent="0.2">
      <c r="D38" s="159"/>
      <c r="F38" s="709" t="s">
        <v>463</v>
      </c>
      <c r="G38" s="709"/>
      <c r="H38" s="709"/>
      <c r="I38" s="709"/>
      <c r="J38" s="709"/>
      <c r="K38" s="709"/>
      <c r="L38" s="709"/>
      <c r="M38" s="709"/>
    </row>
    <row r="39" spans="2:13" ht="11.25" customHeight="1" x14ac:dyDescent="0.2">
      <c r="D39" s="159"/>
      <c r="F39" s="155" t="s">
        <v>426</v>
      </c>
      <c r="G39" s="154" t="s">
        <v>442</v>
      </c>
      <c r="H39" s="700" t="s">
        <v>477</v>
      </c>
      <c r="I39" s="700"/>
      <c r="J39" s="700"/>
      <c r="K39" s="700"/>
      <c r="L39" s="700"/>
      <c r="M39" s="700"/>
    </row>
    <row r="40" spans="2:13" ht="25.5" customHeight="1" x14ac:dyDescent="0.2">
      <c r="D40" s="159"/>
      <c r="F40" s="155" t="s">
        <v>441</v>
      </c>
      <c r="G40" s="152" t="str">
        <f>G18</f>
        <v>Текущий и капитальный ремонт и обслуживание объектов централизованной системы водоотведения за счет тарифных источников</v>
      </c>
      <c r="H40" s="722">
        <v>0</v>
      </c>
      <c r="I40" s="723"/>
      <c r="J40" s="723"/>
      <c r="K40" s="723"/>
      <c r="L40" s="723"/>
      <c r="M40" s="724"/>
    </row>
    <row r="41" spans="2:13" ht="36" customHeight="1" x14ac:dyDescent="0.2">
      <c r="D41" s="159"/>
      <c r="F41" s="155" t="s">
        <v>102</v>
      </c>
      <c r="G41" s="152" t="str">
        <f>G19</f>
        <v>Текущий и капитальный ремонт и обслуживание объектов централизованной системы водоотведения за счет платы за негативное воздействие на централизованную систему водоотведения</v>
      </c>
      <c r="H41" s="725"/>
      <c r="I41" s="726"/>
      <c r="J41" s="726"/>
      <c r="K41" s="726"/>
      <c r="L41" s="726"/>
      <c r="M41" s="727"/>
    </row>
    <row r="42" spans="2:13" ht="29.25" customHeight="1" x14ac:dyDescent="0.2">
      <c r="D42" s="159"/>
      <c r="F42" s="150">
        <v>3</v>
      </c>
      <c r="G42" s="152" t="s">
        <v>459</v>
      </c>
      <c r="H42" s="728"/>
      <c r="I42" s="729"/>
      <c r="J42" s="729"/>
      <c r="K42" s="729"/>
      <c r="L42" s="729"/>
      <c r="M42" s="730"/>
    </row>
    <row r="43" spans="2:13" ht="54.75" customHeight="1" x14ac:dyDescent="0.2">
      <c r="D43" s="159"/>
      <c r="F43" s="708" t="s">
        <v>504</v>
      </c>
      <c r="G43" s="708"/>
      <c r="H43" s="708"/>
      <c r="I43" s="708"/>
      <c r="J43" s="708"/>
      <c r="K43" s="708"/>
      <c r="L43" s="708"/>
      <c r="M43" s="708"/>
    </row>
    <row r="44" spans="2:13" ht="12" customHeight="1" x14ac:dyDescent="0.2">
      <c r="D44" s="159"/>
      <c r="F44" s="694" t="s">
        <v>426</v>
      </c>
      <c r="G44" s="695" t="s">
        <v>440</v>
      </c>
      <c r="H44" s="694" t="s">
        <v>428</v>
      </c>
      <c r="I44" s="699" t="s">
        <v>431</v>
      </c>
      <c r="J44" s="700"/>
      <c r="K44" s="700"/>
      <c r="L44" s="700"/>
      <c r="M44" s="707"/>
    </row>
    <row r="45" spans="2:13" ht="14.25" customHeight="1" x14ac:dyDescent="0.2">
      <c r="D45" s="159"/>
      <c r="F45" s="694"/>
      <c r="G45" s="695"/>
      <c r="H45" s="694"/>
      <c r="I45" s="194" t="s">
        <v>485</v>
      </c>
      <c r="J45" s="194" t="s">
        <v>486</v>
      </c>
      <c r="K45" s="194" t="s">
        <v>487</v>
      </c>
      <c r="L45" s="201" t="s">
        <v>488</v>
      </c>
      <c r="M45" s="201" t="s">
        <v>516</v>
      </c>
    </row>
    <row r="46" spans="2:13" ht="12" customHeight="1" x14ac:dyDescent="0.2">
      <c r="B46" s="135" t="e">
        <f>OR(B47,#REF!,B48)</f>
        <v>#REF!</v>
      </c>
      <c r="C46" s="135" t="e">
        <f>#REF!</f>
        <v>#REF!</v>
      </c>
      <c r="D46" s="159"/>
      <c r="F46" s="138">
        <v>1</v>
      </c>
      <c r="G46" s="710" t="s">
        <v>446</v>
      </c>
      <c r="H46" s="711"/>
      <c r="I46" s="711"/>
      <c r="J46" s="711"/>
      <c r="K46" s="711"/>
      <c r="L46" s="711"/>
      <c r="M46" s="711"/>
    </row>
    <row r="47" spans="2:13" ht="11.25" customHeight="1" x14ac:dyDescent="0.2">
      <c r="B47" s="135" t="e">
        <f>AND(C46="Водоотведение",OR(region_name&lt;&gt;"Ленинградская область",C47&lt;&gt;"Тариф на транспортировку сточных вод"))</f>
        <v>#REF!</v>
      </c>
      <c r="C47" s="135" t="e">
        <f>#REF!</f>
        <v>#REF!</v>
      </c>
      <c r="D47" s="159"/>
      <c r="F47" s="139" t="s">
        <v>18</v>
      </c>
      <c r="G47" s="151" t="s">
        <v>495</v>
      </c>
      <c r="H47" s="140" t="s">
        <v>24</v>
      </c>
      <c r="I47" s="177">
        <f>'КиН из заключения'!E4</f>
        <v>0</v>
      </c>
      <c r="J47" s="177">
        <f>'КиН из заключения'!F4</f>
        <v>0</v>
      </c>
      <c r="K47" s="177">
        <f>'КиН из заключения'!G4</f>
        <v>0</v>
      </c>
      <c r="L47" s="177">
        <v>0</v>
      </c>
      <c r="M47" s="177">
        <v>0</v>
      </c>
    </row>
    <row r="48" spans="2:13" ht="12.75" customHeight="1" x14ac:dyDescent="0.2">
      <c r="B48" s="135" t="e">
        <f>AND(C46="Водоотведение",OR(region_name&lt;&gt;"Ленинградская область",C47&lt;&gt;"Тариф на транспортировку сточных вод"))</f>
        <v>#REF!</v>
      </c>
      <c r="D48" s="159"/>
      <c r="F48" s="153" t="s">
        <v>20</v>
      </c>
      <c r="G48" s="151" t="s">
        <v>496</v>
      </c>
      <c r="H48" s="140" t="s">
        <v>24</v>
      </c>
      <c r="I48" s="177">
        <f>'КиН из заключения'!E5</f>
        <v>0</v>
      </c>
      <c r="J48" s="177">
        <f>'КиН из заключения'!F5</f>
        <v>0</v>
      </c>
      <c r="K48" s="177">
        <f>'КиН из заключения'!G5</f>
        <v>0</v>
      </c>
      <c r="L48" s="177">
        <f>'КиН из заключения'!H5</f>
        <v>0</v>
      </c>
      <c r="M48" s="177">
        <f>'КиН из заключения'!I5</f>
        <v>0</v>
      </c>
    </row>
    <row r="49" spans="2:13" ht="17.25" customHeight="1" x14ac:dyDescent="0.2">
      <c r="B49" s="135" t="e">
        <f>B50</f>
        <v>#REF!</v>
      </c>
      <c r="D49" s="159"/>
      <c r="F49" s="153">
        <v>2</v>
      </c>
      <c r="G49" s="710" t="s">
        <v>447</v>
      </c>
      <c r="H49" s="711"/>
      <c r="I49" s="711"/>
      <c r="J49" s="711"/>
      <c r="K49" s="711"/>
      <c r="L49" s="711"/>
      <c r="M49" s="711"/>
    </row>
    <row r="50" spans="2:13" ht="12" customHeight="1" x14ac:dyDescent="0.2">
      <c r="B50" s="135" t="e">
        <f>C46="Водоотведение"</f>
        <v>#REF!</v>
      </c>
      <c r="D50" s="159"/>
      <c r="F50" s="153" t="s">
        <v>478</v>
      </c>
      <c r="G50" s="170" t="s">
        <v>498</v>
      </c>
      <c r="H50" s="140" t="s">
        <v>443</v>
      </c>
      <c r="I50" s="177">
        <f>'КиН из заключения'!E6</f>
        <v>0</v>
      </c>
      <c r="J50" s="177">
        <f>'КиН из заключения'!F6</f>
        <v>0</v>
      </c>
      <c r="K50" s="177">
        <f>'КиН из заключения'!G6</f>
        <v>0</v>
      </c>
      <c r="L50" s="177">
        <v>0</v>
      </c>
      <c r="M50" s="177">
        <v>0</v>
      </c>
    </row>
    <row r="51" spans="2:13" ht="13.5" customHeight="1" x14ac:dyDescent="0.2">
      <c r="B51" s="135" t="e">
        <f>OR(B52,#REF!)</f>
        <v>#REF!</v>
      </c>
      <c r="D51" s="159"/>
      <c r="F51" s="153">
        <v>3</v>
      </c>
      <c r="G51" s="710" t="s">
        <v>444</v>
      </c>
      <c r="H51" s="711"/>
      <c r="I51" s="711"/>
      <c r="J51" s="711"/>
      <c r="K51" s="711"/>
      <c r="L51" s="711"/>
      <c r="M51" s="711"/>
    </row>
    <row r="52" spans="2:13" ht="16.5" customHeight="1" x14ac:dyDescent="0.2">
      <c r="B52" s="135" t="e">
        <f>AND(C46="Водоотведение",C47&lt;&gt;"Тариф на транспортировку сточных вод")</f>
        <v>#REF!</v>
      </c>
      <c r="D52" s="159"/>
      <c r="F52" s="153" t="s">
        <v>122</v>
      </c>
      <c r="G52" s="170" t="s">
        <v>497</v>
      </c>
      <c r="H52" s="142" t="s">
        <v>445</v>
      </c>
      <c r="I52" s="177">
        <f>'Расчет тарифа мет. инд. 5 лет'!V196</f>
        <v>0</v>
      </c>
      <c r="J52" s="177">
        <f>'Расчет тарифа мет. инд. 5 лет'!AB196</f>
        <v>0</v>
      </c>
      <c r="K52" s="177">
        <f>'Расчет тарифа мет. инд. 5 лет'!AG196</f>
        <v>0</v>
      </c>
      <c r="L52" s="177">
        <v>0</v>
      </c>
      <c r="M52" s="177">
        <v>0</v>
      </c>
    </row>
    <row r="53" spans="2:13" ht="16.5" hidden="1" customHeight="1" x14ac:dyDescent="0.2">
      <c r="B53" s="135"/>
      <c r="D53" s="159"/>
      <c r="F53" s="153"/>
      <c r="G53" s="170"/>
      <c r="H53" s="142"/>
      <c r="I53" s="177"/>
      <c r="J53" s="177"/>
      <c r="K53" s="177"/>
      <c r="L53" s="177"/>
      <c r="M53" s="177"/>
    </row>
    <row r="54" spans="2:13" ht="39.75" customHeight="1" x14ac:dyDescent="0.2">
      <c r="B54" s="135" t="b">
        <v>1</v>
      </c>
      <c r="D54" s="159"/>
      <c r="F54" s="693" t="s">
        <v>461</v>
      </c>
      <c r="G54" s="693"/>
      <c r="H54" s="693"/>
      <c r="I54" s="693"/>
      <c r="J54" s="693"/>
      <c r="K54" s="693"/>
      <c r="L54" s="693"/>
      <c r="M54" s="693"/>
    </row>
    <row r="55" spans="2:13" ht="12" customHeight="1" x14ac:dyDescent="0.2">
      <c r="B55" s="135" t="b">
        <v>1</v>
      </c>
      <c r="D55" s="162"/>
      <c r="E55" s="166"/>
      <c r="F55" s="704" t="s">
        <v>426</v>
      </c>
      <c r="G55" s="694" t="s">
        <v>440</v>
      </c>
      <c r="H55" s="694" t="s">
        <v>428</v>
      </c>
      <c r="I55" s="694" t="s">
        <v>448</v>
      </c>
      <c r="J55" s="694"/>
      <c r="K55" s="694"/>
      <c r="L55" s="694"/>
      <c r="M55" s="694"/>
    </row>
    <row r="56" spans="2:13" ht="13.5" customHeight="1" x14ac:dyDescent="0.2">
      <c r="B56" s="135" t="b">
        <v>1</v>
      </c>
      <c r="D56" s="162"/>
      <c r="E56" s="166"/>
      <c r="F56" s="704"/>
      <c r="G56" s="694"/>
      <c r="H56" s="694"/>
      <c r="I56" s="194" t="s">
        <v>485</v>
      </c>
      <c r="J56" s="194" t="s">
        <v>486</v>
      </c>
      <c r="K56" s="194" t="s">
        <v>487</v>
      </c>
      <c r="L56" s="201" t="s">
        <v>488</v>
      </c>
      <c r="M56" s="201" t="s">
        <v>516</v>
      </c>
    </row>
    <row r="57" spans="2:13" ht="18.75" customHeight="1" x14ac:dyDescent="0.2">
      <c r="B57" s="135" t="e">
        <f>B46</f>
        <v>#REF!</v>
      </c>
      <c r="C57" s="135" t="e">
        <f>#REF!</f>
        <v>#REF!</v>
      </c>
      <c r="D57" s="163"/>
      <c r="E57" s="167"/>
      <c r="F57" s="138">
        <v>1</v>
      </c>
      <c r="G57" s="710" t="s">
        <v>446</v>
      </c>
      <c r="H57" s="711"/>
      <c r="I57" s="711"/>
      <c r="J57" s="711"/>
      <c r="K57" s="711"/>
      <c r="L57" s="711"/>
      <c r="M57" s="712"/>
    </row>
    <row r="58" spans="2:13" ht="13.5" customHeight="1" x14ac:dyDescent="0.2">
      <c r="B58" s="135" t="e">
        <f>B47</f>
        <v>#REF!</v>
      </c>
      <c r="D58" s="163"/>
      <c r="E58" s="167"/>
      <c r="F58" s="139" t="s">
        <v>18</v>
      </c>
      <c r="G58" s="151" t="s">
        <v>495</v>
      </c>
      <c r="H58" s="140" t="s">
        <v>24</v>
      </c>
      <c r="I58" s="172">
        <f>I47</f>
        <v>0</v>
      </c>
      <c r="J58" s="172">
        <f>J47</f>
        <v>0</v>
      </c>
      <c r="K58" s="172">
        <f>K47</f>
        <v>0</v>
      </c>
      <c r="L58" s="172">
        <f>L47</f>
        <v>0</v>
      </c>
      <c r="M58" s="172">
        <f>M47</f>
        <v>0</v>
      </c>
    </row>
    <row r="59" spans="2:13" ht="13.5" customHeight="1" x14ac:dyDescent="0.2">
      <c r="B59" s="135" t="e">
        <f>B58</f>
        <v>#REF!</v>
      </c>
      <c r="D59" s="163"/>
      <c r="E59" s="167"/>
      <c r="F59" s="139"/>
      <c r="G59" s="149" t="s">
        <v>449</v>
      </c>
      <c r="H59" s="140" t="s">
        <v>24</v>
      </c>
      <c r="I59" s="178" t="s">
        <v>231</v>
      </c>
      <c r="J59" s="172">
        <f>IF(I58=0,0,(J58-I58)/I58*100)</f>
        <v>0</v>
      </c>
      <c r="K59" s="172">
        <f>IF(J58=0,0,(K58-J58)/J58*100)</f>
        <v>0</v>
      </c>
      <c r="L59" s="172">
        <f>IF(K58=0,0,(L58-K58)/K58*100)</f>
        <v>0</v>
      </c>
      <c r="M59" s="172">
        <f>IF(L58=0,0,(M58-L58)/L58*100)</f>
        <v>0</v>
      </c>
    </row>
    <row r="60" spans="2:13" ht="9.75" hidden="1" customHeight="1" x14ac:dyDescent="0.2">
      <c r="B60" s="135" t="e">
        <f>#REF!</f>
        <v>#REF!</v>
      </c>
      <c r="C60" s="135" t="e">
        <f>INDEX([2]Тарифы!$AF$86:$AF$99,MATCH(#REF!,[2]Тарифы!$Y$86:$Y$99,0))</f>
        <v>#REF!</v>
      </c>
      <c r="D60" s="163"/>
      <c r="E60" s="167"/>
      <c r="F60" s="139" t="s">
        <v>20</v>
      </c>
      <c r="G60" s="151" t="s">
        <v>479</v>
      </c>
      <c r="H60" s="140" t="s">
        <v>24</v>
      </c>
      <c r="I60" s="172" t="e">
        <f>#REF!</f>
        <v>#REF!</v>
      </c>
      <c r="J60" s="172" t="e">
        <f>#REF!</f>
        <v>#REF!</v>
      </c>
      <c r="K60" s="172" t="e">
        <f>#REF!</f>
        <v>#REF!</v>
      </c>
      <c r="L60" s="172" t="e">
        <f>#REF!</f>
        <v>#REF!</v>
      </c>
      <c r="M60" s="172" t="e">
        <f>#REF!</f>
        <v>#REF!</v>
      </c>
    </row>
    <row r="61" spans="2:13" ht="9.75" hidden="1" customHeight="1" x14ac:dyDescent="0.2">
      <c r="B61" s="135" t="e">
        <f>B60</f>
        <v>#REF!</v>
      </c>
      <c r="D61" s="163"/>
      <c r="E61" s="167"/>
      <c r="F61" s="139"/>
      <c r="G61" s="149" t="s">
        <v>449</v>
      </c>
      <c r="H61" s="140" t="s">
        <v>24</v>
      </c>
      <c r="I61" s="178" t="e">
        <f>IF(H60=0,0,(I60-H60)/H60*100)</f>
        <v>#REF!</v>
      </c>
      <c r="J61" s="172" t="e">
        <f>IF(I60=0,0,(J60-I60)/I60*100)</f>
        <v>#REF!</v>
      </c>
      <c r="K61" s="172" t="e">
        <f>IF(J60=0,0,(K60-J60)/J60*100)</f>
        <v>#REF!</v>
      </c>
      <c r="L61" s="172" t="e">
        <f>IF(K60=0,0,(L60-K60)/K60*100)</f>
        <v>#REF!</v>
      </c>
      <c r="M61" s="172" t="e">
        <f>IF(L60=0,0,(M60-L60)/L60*100)</f>
        <v>#REF!</v>
      </c>
    </row>
    <row r="62" spans="2:13" ht="14.25" customHeight="1" x14ac:dyDescent="0.2">
      <c r="B62" s="135" t="e">
        <f>B48</f>
        <v>#REF!</v>
      </c>
      <c r="D62" s="163"/>
      <c r="E62" s="167"/>
      <c r="F62" s="139" t="s">
        <v>20</v>
      </c>
      <c r="G62" s="151" t="s">
        <v>496</v>
      </c>
      <c r="H62" s="140" t="s">
        <v>24</v>
      </c>
      <c r="I62" s="172">
        <f>I48</f>
        <v>0</v>
      </c>
      <c r="J62" s="172">
        <f>J48</f>
        <v>0</v>
      </c>
      <c r="K62" s="172">
        <f>K48</f>
        <v>0</v>
      </c>
      <c r="L62" s="172">
        <f>L48</f>
        <v>0</v>
      </c>
      <c r="M62" s="172">
        <f>M48</f>
        <v>0</v>
      </c>
    </row>
    <row r="63" spans="2:13" ht="12" customHeight="1" x14ac:dyDescent="0.2">
      <c r="B63" s="135" t="e">
        <f>B62</f>
        <v>#REF!</v>
      </c>
      <c r="D63" s="163"/>
      <c r="E63" s="167"/>
      <c r="F63" s="139"/>
      <c r="G63" s="149" t="s">
        <v>449</v>
      </c>
      <c r="H63" s="140" t="s">
        <v>24</v>
      </c>
      <c r="I63" s="178" t="s">
        <v>231</v>
      </c>
      <c r="J63" s="172">
        <f>IF(I62=0,0,(J62-I62)/I62*100)</f>
        <v>0</v>
      </c>
      <c r="K63" s="172">
        <f>IF(J62=0,0,(K62-J62)/J62*100)</f>
        <v>0</v>
      </c>
      <c r="L63" s="172">
        <f>IF(K62=0,0,(L62-K62)/K62*100)</f>
        <v>0</v>
      </c>
      <c r="M63" s="172">
        <f>IF(L62=0,0,(M62-L62)/L62*100)</f>
        <v>0</v>
      </c>
    </row>
    <row r="64" spans="2:13" ht="14.25" customHeight="1" x14ac:dyDescent="0.2">
      <c r="B64" s="135" t="e">
        <f>B49</f>
        <v>#REF!</v>
      </c>
      <c r="D64" s="163"/>
      <c r="E64" s="167"/>
      <c r="F64" s="153">
        <v>2</v>
      </c>
      <c r="G64" s="710" t="s">
        <v>447</v>
      </c>
      <c r="H64" s="711"/>
      <c r="I64" s="711"/>
      <c r="J64" s="711"/>
      <c r="K64" s="711"/>
      <c r="L64" s="711"/>
      <c r="M64" s="712"/>
    </row>
    <row r="65" spans="2:17" ht="15" customHeight="1" x14ac:dyDescent="0.2">
      <c r="B65" s="135" t="e">
        <f>B50</f>
        <v>#REF!</v>
      </c>
      <c r="D65" s="163"/>
      <c r="E65" s="167"/>
      <c r="F65" s="153" t="s">
        <v>478</v>
      </c>
      <c r="G65" s="170" t="s">
        <v>498</v>
      </c>
      <c r="H65" s="140" t="s">
        <v>443</v>
      </c>
      <c r="I65" s="172">
        <f>I50</f>
        <v>0</v>
      </c>
      <c r="J65" s="172">
        <f>J50</f>
        <v>0</v>
      </c>
      <c r="K65" s="172">
        <f>K50</f>
        <v>0</v>
      </c>
      <c r="L65" s="172">
        <f>L50</f>
        <v>0</v>
      </c>
      <c r="M65" s="172">
        <f>M50</f>
        <v>0</v>
      </c>
    </row>
    <row r="66" spans="2:17" ht="11.25" customHeight="1" x14ac:dyDescent="0.2">
      <c r="B66" s="135" t="e">
        <f>B65</f>
        <v>#REF!</v>
      </c>
      <c r="D66" s="163"/>
      <c r="E66" s="167"/>
      <c r="F66" s="139"/>
      <c r="G66" s="149" t="s">
        <v>449</v>
      </c>
      <c r="H66" s="140" t="s">
        <v>24</v>
      </c>
      <c r="I66" s="178" t="s">
        <v>231</v>
      </c>
      <c r="J66" s="172">
        <f>IF(I65=0,0,(J65-I65)/I65*100)</f>
        <v>0</v>
      </c>
      <c r="K66" s="172">
        <f>IF(J65=0,0,(K65-J65)/J65*100)</f>
        <v>0</v>
      </c>
      <c r="L66" s="172">
        <f>IF(K65=0,0,(L65-K65)/K65*100)</f>
        <v>0</v>
      </c>
      <c r="M66" s="172">
        <f>IF(L65=0,0,(M65-L65)/L65*100)</f>
        <v>0</v>
      </c>
    </row>
    <row r="67" spans="2:17" ht="14.25" customHeight="1" x14ac:dyDescent="0.2">
      <c r="B67" s="135" t="e">
        <f>B51</f>
        <v>#REF!</v>
      </c>
      <c r="D67" s="163"/>
      <c r="E67" s="167"/>
      <c r="F67" s="153">
        <v>3</v>
      </c>
      <c r="G67" s="710" t="s">
        <v>444</v>
      </c>
      <c r="H67" s="711"/>
      <c r="I67" s="711"/>
      <c r="J67" s="711"/>
      <c r="K67" s="711"/>
      <c r="L67" s="711"/>
      <c r="M67" s="712"/>
    </row>
    <row r="68" spans="2:17" ht="15.75" customHeight="1" x14ac:dyDescent="0.2">
      <c r="B68" s="135" t="e">
        <f>#REF!</f>
        <v>#REF!</v>
      </c>
      <c r="D68" s="163"/>
      <c r="E68" s="167"/>
      <c r="F68" s="153" t="s">
        <v>122</v>
      </c>
      <c r="G68" s="170" t="s">
        <v>497</v>
      </c>
      <c r="H68" s="142" t="s">
        <v>445</v>
      </c>
      <c r="I68" s="172">
        <f>I52</f>
        <v>0</v>
      </c>
      <c r="J68" s="172">
        <f t="shared" ref="J68:M68" si="6">J52</f>
        <v>0</v>
      </c>
      <c r="K68" s="172">
        <f t="shared" si="6"/>
        <v>0</v>
      </c>
      <c r="L68" s="172">
        <f t="shared" si="6"/>
        <v>0</v>
      </c>
      <c r="M68" s="172">
        <f t="shared" si="6"/>
        <v>0</v>
      </c>
      <c r="N68" s="133" t="s">
        <v>469</v>
      </c>
    </row>
    <row r="69" spans="2:17" x14ac:dyDescent="0.2">
      <c r="B69" s="135" t="e">
        <f>B68</f>
        <v>#REF!</v>
      </c>
      <c r="D69" s="163"/>
      <c r="E69" s="167"/>
      <c r="F69" s="139"/>
      <c r="G69" s="149" t="s">
        <v>449</v>
      </c>
      <c r="H69" s="140" t="s">
        <v>24</v>
      </c>
      <c r="I69" s="178" t="s">
        <v>231</v>
      </c>
      <c r="J69" s="172">
        <f>IF(I68=0,0,(J68-I68)/I68*100)</f>
        <v>0</v>
      </c>
      <c r="K69" s="172">
        <f>IF(J68=0,0,(K68-J68)/J68*100)</f>
        <v>0</v>
      </c>
      <c r="L69" s="172">
        <f>IF(K68=0,0,(L68-K68)/K68*100)</f>
        <v>0</v>
      </c>
      <c r="M69" s="172">
        <f>IF(L68=0,0,(M68-L68)/L68*100)</f>
        <v>0</v>
      </c>
    </row>
    <row r="70" spans="2:17" ht="18.75" customHeight="1" x14ac:dyDescent="0.2">
      <c r="D70" s="159"/>
      <c r="F70" s="693" t="s">
        <v>464</v>
      </c>
      <c r="G70" s="693"/>
      <c r="H70" s="693"/>
      <c r="I70" s="693"/>
      <c r="J70" s="693"/>
      <c r="K70" s="693"/>
      <c r="L70" s="693"/>
      <c r="M70" s="693"/>
    </row>
    <row r="71" spans="2:17" ht="33" customHeight="1" x14ac:dyDescent="0.2">
      <c r="D71" s="159"/>
      <c r="F71" s="141" t="s">
        <v>426</v>
      </c>
      <c r="G71" s="141" t="s">
        <v>440</v>
      </c>
      <c r="H71" s="148" t="s">
        <v>428</v>
      </c>
      <c r="I71" s="158" t="s">
        <v>471</v>
      </c>
      <c r="J71" s="158" t="s">
        <v>470</v>
      </c>
      <c r="K71" s="714" t="s">
        <v>457</v>
      </c>
      <c r="L71" s="714"/>
      <c r="M71" s="714"/>
      <c r="N71" s="719"/>
      <c r="O71" s="720"/>
      <c r="P71" s="720"/>
    </row>
    <row r="72" spans="2:17" ht="14.25" customHeight="1" x14ac:dyDescent="0.2">
      <c r="D72" s="159"/>
      <c r="F72" s="141" t="s">
        <v>441</v>
      </c>
      <c r="G72" s="146" t="s">
        <v>473</v>
      </c>
      <c r="H72" s="148"/>
      <c r="I72" s="176">
        <f>'Расчет тарифа мет. инд. 5 лет'!M172</f>
        <v>468.42940350267105</v>
      </c>
      <c r="J72" s="176">
        <f>'Расчет тарифа мет. инд. 5 лет'!N172</f>
        <v>322.00349999999997</v>
      </c>
      <c r="K72" s="731"/>
      <c r="L72" s="732"/>
      <c r="M72" s="733"/>
      <c r="N72" s="143"/>
      <c r="O72" s="145"/>
      <c r="P72" s="145"/>
    </row>
    <row r="73" spans="2:17" ht="11.25" customHeight="1" x14ac:dyDescent="0.2">
      <c r="D73" s="159"/>
      <c r="F73" s="141" t="s">
        <v>18</v>
      </c>
      <c r="G73" s="146" t="s">
        <v>472</v>
      </c>
      <c r="H73" s="141" t="s">
        <v>106</v>
      </c>
      <c r="I73" s="179">
        <f>'Расчет тарифа мет. инд. 5 лет'!M25</f>
        <v>464.12259700267106</v>
      </c>
      <c r="J73" s="179">
        <f>'Расчет тарифа мет. инд. 5 лет'!N25</f>
        <v>322.00349999999997</v>
      </c>
      <c r="K73" s="734"/>
      <c r="L73" s="735"/>
      <c r="M73" s="736"/>
      <c r="N73" s="719"/>
      <c r="O73" s="719"/>
      <c r="P73" s="719"/>
      <c r="Q73" s="133" t="s">
        <v>460</v>
      </c>
    </row>
    <row r="74" spans="2:17" ht="11.25" customHeight="1" x14ac:dyDescent="0.2">
      <c r="D74" s="159"/>
      <c r="F74" s="141" t="s">
        <v>35</v>
      </c>
      <c r="G74" s="146" t="s">
        <v>480</v>
      </c>
      <c r="H74" s="141" t="s">
        <v>106</v>
      </c>
      <c r="I74" s="179">
        <f>'Расчет тарифа мет. инд. 5 лет'!M26+'Расчет тарифа мет. инд. 5 лет'!M30+'Расчет тарифа мет. инд. 5 лет'!M31+'Расчет тарифа мет. инд. 5 лет'!M50</f>
        <v>328.26596927292752</v>
      </c>
      <c r="J74" s="179">
        <f>'Расчет тарифа мет. инд. 5 лет'!N26+'Расчет тарифа мет. инд. 5 лет'!N30+'Расчет тарифа мет. инд. 5 лет'!N31+'Расчет тарифа мет. инд. 5 лет'!N50</f>
        <v>257.42284000000001</v>
      </c>
      <c r="K74" s="734"/>
      <c r="L74" s="735"/>
      <c r="M74" s="736"/>
      <c r="N74" s="719"/>
      <c r="O74" s="719"/>
      <c r="P74" s="719"/>
    </row>
    <row r="75" spans="2:17" ht="11.25" customHeight="1" x14ac:dyDescent="0.2">
      <c r="D75" s="159"/>
      <c r="F75" s="141" t="s">
        <v>37</v>
      </c>
      <c r="G75" s="146" t="s">
        <v>481</v>
      </c>
      <c r="H75" s="141" t="s">
        <v>106</v>
      </c>
      <c r="I75" s="179">
        <f>'Расчет тарифа мет. инд. 5 лет'!M47</f>
        <v>0</v>
      </c>
      <c r="J75" s="179">
        <f>'Расчет тарифа мет. инд. 5 лет'!N47</f>
        <v>0</v>
      </c>
      <c r="K75" s="734"/>
      <c r="L75" s="735"/>
      <c r="M75" s="736"/>
      <c r="N75" s="719"/>
      <c r="O75" s="719"/>
      <c r="P75" s="719"/>
    </row>
    <row r="76" spans="2:17" ht="11.25" customHeight="1" x14ac:dyDescent="0.2">
      <c r="D76" s="159"/>
      <c r="F76" s="141" t="s">
        <v>102</v>
      </c>
      <c r="G76" s="146" t="s">
        <v>103</v>
      </c>
      <c r="H76" s="141" t="s">
        <v>106</v>
      </c>
      <c r="I76" s="179">
        <f>'Расчет тарифа мет. инд. 5 лет'!M74</f>
        <v>0</v>
      </c>
      <c r="J76" s="179">
        <f>'Расчет тарифа мет. инд. 5 лет'!N74</f>
        <v>0</v>
      </c>
      <c r="K76" s="734"/>
      <c r="L76" s="735"/>
      <c r="M76" s="736"/>
      <c r="N76" s="719"/>
      <c r="O76" s="719"/>
      <c r="P76" s="719"/>
    </row>
    <row r="77" spans="2:17" ht="17.25" customHeight="1" x14ac:dyDescent="0.2">
      <c r="D77" s="159"/>
      <c r="F77" s="141" t="s">
        <v>120</v>
      </c>
      <c r="G77" s="146" t="s">
        <v>474</v>
      </c>
      <c r="H77" s="141" t="s">
        <v>106</v>
      </c>
      <c r="I77" s="179">
        <v>0</v>
      </c>
      <c r="J77" s="179">
        <v>0</v>
      </c>
      <c r="K77" s="734"/>
      <c r="L77" s="735"/>
      <c r="M77" s="736"/>
      <c r="N77" s="719"/>
      <c r="O77" s="719"/>
      <c r="P77" s="719"/>
    </row>
    <row r="78" spans="2:17" ht="12.75" customHeight="1" x14ac:dyDescent="0.2">
      <c r="D78" s="159"/>
      <c r="F78" s="141" t="s">
        <v>455</v>
      </c>
      <c r="G78" s="171" t="str">
        <f>G37</f>
        <v>Всего за счет тарифных и прочих источников</v>
      </c>
      <c r="H78" s="141"/>
      <c r="I78" s="179"/>
      <c r="J78" s="179"/>
      <c r="K78" s="734"/>
      <c r="L78" s="735"/>
      <c r="M78" s="736"/>
      <c r="N78" s="719"/>
      <c r="O78" s="719"/>
      <c r="P78" s="719"/>
    </row>
    <row r="79" spans="2:17" ht="15" customHeight="1" x14ac:dyDescent="0.2">
      <c r="D79" s="159"/>
      <c r="F79" s="141" t="s">
        <v>456</v>
      </c>
      <c r="G79" s="146" t="s">
        <v>466</v>
      </c>
      <c r="H79" s="141" t="s">
        <v>467</v>
      </c>
      <c r="I79" s="180">
        <f>'Расчет тарифа мет. инд. 5 лет'!M17</f>
        <v>0.99249999999999994</v>
      </c>
      <c r="J79" s="180">
        <f>'Расчет тарифа мет. инд. 5 лет'!N17</f>
        <v>1.0145299999999999</v>
      </c>
      <c r="K79" s="734"/>
      <c r="L79" s="735"/>
      <c r="M79" s="736"/>
      <c r="N79" s="719"/>
      <c r="O79" s="719"/>
      <c r="P79" s="719"/>
    </row>
    <row r="80" spans="2:17" ht="18.75" customHeight="1" x14ac:dyDescent="0.2">
      <c r="D80" s="159"/>
      <c r="F80" s="141" t="s">
        <v>199</v>
      </c>
      <c r="G80" s="713" t="s">
        <v>482</v>
      </c>
      <c r="H80" s="713"/>
      <c r="I80" s="713"/>
      <c r="J80" s="713"/>
      <c r="K80" s="734"/>
      <c r="L80" s="735"/>
      <c r="M80" s="736"/>
      <c r="N80" s="143"/>
      <c r="O80" s="143"/>
      <c r="P80" s="143"/>
    </row>
    <row r="81" spans="4:16" ht="11.25" customHeight="1" x14ac:dyDescent="0.2">
      <c r="D81" s="159"/>
      <c r="F81" s="141" t="s">
        <v>499</v>
      </c>
      <c r="G81" s="144" t="str">
        <f>G58</f>
        <v>подпункт "а" пункта 12 приказа Минстроя России от 04.04.2014 № 162/пр</v>
      </c>
      <c r="H81" s="140" t="s">
        <v>24</v>
      </c>
      <c r="I81" s="181">
        <f>'Расчет КиН (полный цикл)'!G30</f>
        <v>1</v>
      </c>
      <c r="J81" s="187">
        <f>'Расчет КиН (полный цикл)'!I30</f>
        <v>1.76</v>
      </c>
      <c r="K81" s="734"/>
      <c r="L81" s="735"/>
      <c r="M81" s="736"/>
      <c r="N81" s="143"/>
      <c r="O81" s="143"/>
      <c r="P81" s="143"/>
    </row>
    <row r="82" spans="4:16" ht="11.25" customHeight="1" x14ac:dyDescent="0.2">
      <c r="D82" s="159"/>
      <c r="F82" s="141" t="s">
        <v>500</v>
      </c>
      <c r="G82" s="144" t="str">
        <f>G62</f>
        <v>подпункт "в" пункта 12 приказа Минстроя России от 04.04.2014 № 162/пр</v>
      </c>
      <c r="H82" s="140" t="s">
        <v>24</v>
      </c>
      <c r="I82" s="181">
        <f>'Расчет КиН (полный цикл)'!G32</f>
        <v>0</v>
      </c>
      <c r="J82" s="184">
        <f>'Расчет КиН (полный цикл)'!I32</f>
        <v>0</v>
      </c>
      <c r="K82" s="734"/>
      <c r="L82" s="735"/>
      <c r="M82" s="736"/>
      <c r="N82" s="143"/>
      <c r="O82" s="143"/>
      <c r="P82" s="143"/>
    </row>
    <row r="83" spans="4:16" ht="11.25" customHeight="1" x14ac:dyDescent="0.2">
      <c r="D83" s="159"/>
      <c r="F83" s="141" t="s">
        <v>501</v>
      </c>
      <c r="G83" s="144" t="str">
        <f>G65</f>
        <v>пункт 11 приказа Минстроя России от 04.04.2014 № 162/пр</v>
      </c>
      <c r="H83" s="140" t="s">
        <v>24</v>
      </c>
      <c r="I83" s="181">
        <f>'Расчет КиН (полный цикл)'!G34</f>
        <v>0</v>
      </c>
      <c r="J83" s="184">
        <f>'Расчет КиН (полный цикл)'!I34</f>
        <v>0</v>
      </c>
      <c r="K83" s="737"/>
      <c r="L83" s="738"/>
      <c r="M83" s="739"/>
      <c r="N83" s="143"/>
      <c r="O83" s="143"/>
      <c r="P83" s="143"/>
    </row>
    <row r="84" spans="4:16" ht="17.25" customHeight="1" x14ac:dyDescent="0.2">
      <c r="D84" s="159"/>
      <c r="F84" s="693" t="s">
        <v>465</v>
      </c>
      <c r="G84" s="693"/>
      <c r="H84" s="693"/>
      <c r="I84" s="693"/>
      <c r="J84" s="693"/>
      <c r="K84" s="693"/>
      <c r="L84" s="693"/>
      <c r="M84" s="693"/>
    </row>
    <row r="85" spans="4:16" ht="22.5" customHeight="1" x14ac:dyDescent="0.2">
      <c r="D85" s="159"/>
      <c r="F85" s="714" t="s">
        <v>426</v>
      </c>
      <c r="G85" s="717" t="s">
        <v>442</v>
      </c>
      <c r="H85" s="694" t="s">
        <v>428</v>
      </c>
      <c r="I85" s="694" t="s">
        <v>448</v>
      </c>
      <c r="J85" s="694"/>
      <c r="K85" s="694"/>
      <c r="L85" s="694"/>
      <c r="M85" s="694"/>
    </row>
    <row r="86" spans="4:16" ht="11.25" customHeight="1" x14ac:dyDescent="0.2">
      <c r="D86" s="159"/>
      <c r="F86" s="714"/>
      <c r="G86" s="717"/>
      <c r="H86" s="694"/>
      <c r="I86" s="148" t="s">
        <v>484</v>
      </c>
      <c r="J86" s="148" t="s">
        <v>485</v>
      </c>
      <c r="K86" s="148" t="s">
        <v>486</v>
      </c>
      <c r="L86" s="148" t="s">
        <v>487</v>
      </c>
      <c r="M86" s="148" t="s">
        <v>488</v>
      </c>
    </row>
    <row r="87" spans="4:16" ht="11.25" customHeight="1" x14ac:dyDescent="0.2">
      <c r="D87" s="168">
        <v>1</v>
      </c>
      <c r="E87" s="169"/>
      <c r="F87" s="721">
        <v>1</v>
      </c>
      <c r="G87" s="718" t="s">
        <v>468</v>
      </c>
      <c r="H87" s="714" t="s">
        <v>106</v>
      </c>
      <c r="I87" s="715" t="s">
        <v>231</v>
      </c>
      <c r="J87" s="715" t="s">
        <v>231</v>
      </c>
      <c r="K87" s="715" t="s">
        <v>231</v>
      </c>
      <c r="L87" s="715" t="s">
        <v>231</v>
      </c>
      <c r="M87" s="715" t="s">
        <v>231</v>
      </c>
    </row>
    <row r="88" spans="4:16" ht="15" customHeight="1" x14ac:dyDescent="0.2">
      <c r="D88" s="168"/>
      <c r="E88" s="169"/>
      <c r="F88" s="721"/>
      <c r="G88" s="718"/>
      <c r="H88" s="714"/>
      <c r="I88" s="716"/>
      <c r="J88" s="716"/>
      <c r="K88" s="716"/>
      <c r="L88" s="716"/>
      <c r="M88" s="716"/>
    </row>
    <row r="94" spans="4:16" x14ac:dyDescent="0.2">
      <c r="G94" s="133" t="s">
        <v>503</v>
      </c>
    </row>
  </sheetData>
  <mergeCells count="65">
    <mergeCell ref="F87:F88"/>
    <mergeCell ref="H40:M42"/>
    <mergeCell ref="K72:M83"/>
    <mergeCell ref="H11:M11"/>
    <mergeCell ref="H12:M12"/>
    <mergeCell ref="H13:M13"/>
    <mergeCell ref="H14:M14"/>
    <mergeCell ref="G64:M64"/>
    <mergeCell ref="G57:M57"/>
    <mergeCell ref="M87:M88"/>
    <mergeCell ref="H85:H86"/>
    <mergeCell ref="H87:H88"/>
    <mergeCell ref="I85:M85"/>
    <mergeCell ref="F85:F86"/>
    <mergeCell ref="I87:I88"/>
    <mergeCell ref="J87:J88"/>
    <mergeCell ref="K87:K88"/>
    <mergeCell ref="L87:L88"/>
    <mergeCell ref="G85:G86"/>
    <mergeCell ref="G87:G88"/>
    <mergeCell ref="N71:P71"/>
    <mergeCell ref="N73:P79"/>
    <mergeCell ref="F70:M70"/>
    <mergeCell ref="F84:M84"/>
    <mergeCell ref="G67:M67"/>
    <mergeCell ref="G80:J80"/>
    <mergeCell ref="K71:M71"/>
    <mergeCell ref="G46:M46"/>
    <mergeCell ref="G49:M49"/>
    <mergeCell ref="F54:M54"/>
    <mergeCell ref="F55:F56"/>
    <mergeCell ref="H55:H56"/>
    <mergeCell ref="I55:M55"/>
    <mergeCell ref="G51:M51"/>
    <mergeCell ref="G55:G56"/>
    <mergeCell ref="F43:M43"/>
    <mergeCell ref="I44:M44"/>
    <mergeCell ref="F38:M38"/>
    <mergeCell ref="H39:M39"/>
    <mergeCell ref="F44:F45"/>
    <mergeCell ref="G44:G45"/>
    <mergeCell ref="H44:H45"/>
    <mergeCell ref="F31:F32"/>
    <mergeCell ref="G31:G32"/>
    <mergeCell ref="H31:H32"/>
    <mergeCell ref="I31:M31"/>
    <mergeCell ref="F22:F23"/>
    <mergeCell ref="G22:G23"/>
    <mergeCell ref="H22:H23"/>
    <mergeCell ref="I22:M22"/>
    <mergeCell ref="F30:M30"/>
    <mergeCell ref="F8:M8"/>
    <mergeCell ref="F9:M9"/>
    <mergeCell ref="F10:G10"/>
    <mergeCell ref="H10:M10"/>
    <mergeCell ref="F11:G11"/>
    <mergeCell ref="F12:G12"/>
    <mergeCell ref="F13:G13"/>
    <mergeCell ref="F14:G14"/>
    <mergeCell ref="F21:M21"/>
    <mergeCell ref="F15:M15"/>
    <mergeCell ref="F16:F17"/>
    <mergeCell ref="G16:G17"/>
    <mergeCell ref="H16:H17"/>
    <mergeCell ref="I16:M16"/>
  </mergeCells>
  <phoneticPr fontId="49" type="noConversion"/>
  <dataValidations count="1">
    <dataValidation type="list" allowBlank="1" showInputMessage="1" showErrorMessage="1" sqref="N8" xr:uid="{F07C1FA5-018B-4CE4-9615-6D1ECAECF900}">
      <formula1>version_PP</formula1>
    </dataValidation>
  </dataValidations>
  <pageMargins left="0" right="0" top="0" bottom="0" header="0.31496062992125984" footer="0.31496062992125984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5D3ED-3715-456A-905D-2ED324D35EC3}">
  <sheetPr>
    <pageSetUpPr fitToPage="1"/>
  </sheetPr>
  <dimension ref="A1:Q94"/>
  <sheetViews>
    <sheetView view="pageBreakPreview" topLeftCell="E58" zoomScaleNormal="100" zoomScaleSheetLayoutView="100" workbookViewId="0">
      <selection activeCell="F8" sqref="F8:M8"/>
    </sheetView>
  </sheetViews>
  <sheetFormatPr defaultRowHeight="12" outlineLevelCol="1" x14ac:dyDescent="0.2"/>
  <cols>
    <col min="1" max="3" width="10.7109375" style="133" hidden="1" customWidth="1"/>
    <col min="4" max="4" width="4.140625" style="133" hidden="1" customWidth="1"/>
    <col min="5" max="5" width="9.5703125" style="133" customWidth="1"/>
    <col min="6" max="6" width="10.42578125" style="133" customWidth="1"/>
    <col min="7" max="7" width="63.5703125" style="133" customWidth="1"/>
    <col min="8" max="8" width="13.5703125" style="133" customWidth="1"/>
    <col min="9" max="11" width="10.5703125" style="133" customWidth="1"/>
    <col min="12" max="13" width="10.5703125" style="133" customWidth="1" outlineLevel="1"/>
    <col min="14" max="14" width="23.5703125" style="133" customWidth="1"/>
    <col min="15" max="15" width="9.7109375" style="133" customWidth="1"/>
    <col min="16" max="16384" width="9.140625" style="133"/>
  </cols>
  <sheetData>
    <row r="1" spans="2:14" s="532" customFormat="1" ht="23.25" customHeight="1" x14ac:dyDescent="0.2">
      <c r="D1" s="533"/>
      <c r="I1" s="534" t="s">
        <v>491</v>
      </c>
      <c r="J1" s="534"/>
      <c r="K1" s="534"/>
      <c r="L1" s="535"/>
    </row>
    <row r="2" spans="2:14" s="532" customFormat="1" ht="20.25" customHeight="1" x14ac:dyDescent="0.2">
      <c r="D2" s="533"/>
      <c r="I2" s="534" t="s">
        <v>489</v>
      </c>
      <c r="J2" s="534"/>
      <c r="K2" s="534"/>
      <c r="L2" s="534"/>
    </row>
    <row r="3" spans="2:14" s="532" customFormat="1" ht="20.25" customHeight="1" x14ac:dyDescent="0.2">
      <c r="D3" s="533"/>
      <c r="I3" s="534" t="s">
        <v>490</v>
      </c>
      <c r="J3" s="534"/>
      <c r="K3" s="534"/>
      <c r="L3" s="534"/>
    </row>
    <row r="4" spans="2:14" s="532" customFormat="1" ht="20.25" customHeight="1" x14ac:dyDescent="0.2">
      <c r="D4" s="533"/>
      <c r="I4" s="534" t="s">
        <v>555</v>
      </c>
      <c r="J4" s="534"/>
      <c r="K4" s="534"/>
      <c r="L4" s="534"/>
      <c r="M4" s="536"/>
    </row>
    <row r="5" spans="2:14" ht="4.5" customHeight="1" x14ac:dyDescent="0.2"/>
    <row r="6" spans="2:14" ht="20.25" customHeight="1" x14ac:dyDescent="0.2"/>
    <row r="7" spans="2:14" ht="3.75" customHeight="1" x14ac:dyDescent="0.2"/>
    <row r="8" spans="2:14" ht="39" customHeight="1" x14ac:dyDescent="0.2">
      <c r="F8" s="701" t="s">
        <v>556</v>
      </c>
      <c r="G8" s="701"/>
      <c r="H8" s="701"/>
      <c r="I8" s="701"/>
      <c r="J8" s="701"/>
      <c r="K8" s="701"/>
      <c r="L8" s="701"/>
      <c r="M8" s="701"/>
      <c r="N8" s="134"/>
    </row>
    <row r="9" spans="2:14" ht="15.75" customHeight="1" x14ac:dyDescent="0.2">
      <c r="D9" s="159"/>
      <c r="F9" s="692" t="s">
        <v>420</v>
      </c>
      <c r="G9" s="692"/>
      <c r="H9" s="692"/>
      <c r="I9" s="692"/>
      <c r="J9" s="692"/>
      <c r="K9" s="692"/>
      <c r="L9" s="692"/>
      <c r="M9" s="692"/>
    </row>
    <row r="10" spans="2:14" ht="15.75" customHeight="1" x14ac:dyDescent="0.2">
      <c r="D10" s="159"/>
      <c r="F10" s="688" t="s">
        <v>421</v>
      </c>
      <c r="G10" s="689"/>
      <c r="H10" s="702" t="s">
        <v>557</v>
      </c>
      <c r="I10" s="702"/>
      <c r="J10" s="702"/>
      <c r="K10" s="702"/>
      <c r="L10" s="702"/>
      <c r="M10" s="702"/>
    </row>
    <row r="11" spans="2:14" ht="24.75" customHeight="1" x14ac:dyDescent="0.2">
      <c r="D11" s="159"/>
      <c r="F11" s="690" t="s">
        <v>422</v>
      </c>
      <c r="G11" s="691"/>
      <c r="H11" s="702" t="s">
        <v>553</v>
      </c>
      <c r="I11" s="702"/>
      <c r="J11" s="702"/>
      <c r="K11" s="702"/>
      <c r="L11" s="702"/>
      <c r="M11" s="702"/>
    </row>
    <row r="12" spans="2:14" ht="15.75" customHeight="1" x14ac:dyDescent="0.2">
      <c r="D12" s="159"/>
      <c r="F12" s="688" t="s">
        <v>423</v>
      </c>
      <c r="G12" s="689"/>
      <c r="H12" s="702" t="s">
        <v>450</v>
      </c>
      <c r="I12" s="702"/>
      <c r="J12" s="702"/>
      <c r="K12" s="702"/>
      <c r="L12" s="702"/>
      <c r="M12" s="702"/>
    </row>
    <row r="13" spans="2:14" ht="15.75" customHeight="1" x14ac:dyDescent="0.2">
      <c r="D13" s="159"/>
      <c r="F13" s="690" t="s">
        <v>422</v>
      </c>
      <c r="G13" s="691"/>
      <c r="H13" s="702" t="s">
        <v>502</v>
      </c>
      <c r="I13" s="702"/>
      <c r="J13" s="702"/>
      <c r="K13" s="702"/>
      <c r="L13" s="702"/>
      <c r="M13" s="702"/>
    </row>
    <row r="14" spans="2:14" ht="15.75" customHeight="1" x14ac:dyDescent="0.2">
      <c r="D14" s="159"/>
      <c r="F14" s="688" t="s">
        <v>424</v>
      </c>
      <c r="G14" s="688"/>
      <c r="H14" s="740" t="s">
        <v>554</v>
      </c>
      <c r="I14" s="740"/>
      <c r="J14" s="740"/>
      <c r="K14" s="740"/>
      <c r="L14" s="740"/>
      <c r="M14" s="740"/>
    </row>
    <row r="15" spans="2:14" ht="36.75" customHeight="1" x14ac:dyDescent="0.2">
      <c r="B15" s="135" t="b">
        <f>REGULATION_METHODS&lt;&gt;"Метод сравнения аналогов"</f>
        <v>1</v>
      </c>
      <c r="D15" s="159"/>
      <c r="F15" s="693" t="s">
        <v>425</v>
      </c>
      <c r="G15" s="693"/>
      <c r="H15" s="693"/>
      <c r="I15" s="693"/>
      <c r="J15" s="693"/>
      <c r="K15" s="693"/>
      <c r="L15" s="693"/>
      <c r="M15" s="693"/>
    </row>
    <row r="16" spans="2:14" ht="11.25" customHeight="1" x14ac:dyDescent="0.2">
      <c r="B16" s="135" t="e">
        <f>#REF!</f>
        <v>#REF!</v>
      </c>
      <c r="D16" s="159"/>
      <c r="F16" s="694" t="s">
        <v>426</v>
      </c>
      <c r="G16" s="695" t="s">
        <v>427</v>
      </c>
      <c r="H16" s="697" t="s">
        <v>428</v>
      </c>
      <c r="I16" s="699" t="s">
        <v>429</v>
      </c>
      <c r="J16" s="700"/>
      <c r="K16" s="700"/>
      <c r="L16" s="700"/>
      <c r="M16" s="700"/>
    </row>
    <row r="17" spans="2:14" ht="11.25" customHeight="1" x14ac:dyDescent="0.2">
      <c r="B17" s="135" t="b">
        <f>B15</f>
        <v>1</v>
      </c>
      <c r="D17" s="159"/>
      <c r="F17" s="694"/>
      <c r="G17" s="696"/>
      <c r="H17" s="698"/>
      <c r="I17" s="194" t="s">
        <v>485</v>
      </c>
      <c r="J17" s="194" t="s">
        <v>486</v>
      </c>
      <c r="K17" s="194" t="s">
        <v>487</v>
      </c>
      <c r="L17" s="201" t="s">
        <v>488</v>
      </c>
      <c r="M17" s="201" t="s">
        <v>516</v>
      </c>
    </row>
    <row r="18" spans="2:14" ht="26.25" customHeight="1" x14ac:dyDescent="0.2">
      <c r="B18" s="135" t="e">
        <f>#REF!</f>
        <v>#REF!</v>
      </c>
      <c r="D18" s="159"/>
      <c r="F18" s="202">
        <v>1</v>
      </c>
      <c r="G18" s="152" t="s">
        <v>505</v>
      </c>
      <c r="H18" s="200" t="s">
        <v>106</v>
      </c>
      <c r="I18" s="172">
        <f>'Расчет тарифа мет. инд. 5 лет'!W26+'Расчет тарифа мет. инд. 5 лет'!W30+'Расчет тарифа мет. инд. 5 лет'!W31+'Расчет тарифа мет. инд. 5 лет'!W50</f>
        <v>320.43985263902442</v>
      </c>
      <c r="J18" s="172">
        <f>'Расчет тарифа мет. инд. 5 лет'!AB26+'Расчет тарифа мет. инд. 5 лет'!AB30+'Расчет тарифа мет. инд. 5 лет'!AB31+'Расчет тарифа мет. инд. 5 лет'!AB50</f>
        <v>330.87657863947743</v>
      </c>
      <c r="K18" s="172">
        <f>'Расчет тарифа мет. инд. 5 лет'!AG26+'Расчет тарифа мет. инд. 5 лет'!AG30+'Расчет тарифа мет. инд. 5 лет'!AG31+'Расчет тарифа мет. инд. 5 лет'!AG50</f>
        <v>340.67052536720598</v>
      </c>
      <c r="L18" s="172">
        <f>'Расчет тарифа мет. инд. 5 лет'!AL26+'Расчет тарифа мет. инд. 5 лет'!AL30+'Расчет тарифа мет. инд. 5 лет'!AL31+'Расчет тарифа мет. инд. 5 лет'!AL50</f>
        <v>350.75437291807526</v>
      </c>
      <c r="M18" s="172">
        <f>'Расчет тарифа мет. инд. 5 лет'!AQ26+'Расчет тарифа мет. инд. 5 лет'!AQ30+'Расчет тарифа мет. инд. 5 лет'!AQ31+'Расчет тарифа мет. инд. 5 лет'!AQ50</f>
        <v>361.13670235645031</v>
      </c>
      <c r="N18" s="133" t="s">
        <v>483</v>
      </c>
    </row>
    <row r="19" spans="2:14" ht="36.75" customHeight="1" x14ac:dyDescent="0.2">
      <c r="B19" s="135"/>
      <c r="D19" s="159"/>
      <c r="F19" s="202" t="s">
        <v>102</v>
      </c>
      <c r="G19" s="196" t="s">
        <v>506</v>
      </c>
      <c r="H19" s="200" t="s">
        <v>106</v>
      </c>
      <c r="I19" s="172">
        <v>0</v>
      </c>
      <c r="J19" s="172">
        <v>0</v>
      </c>
      <c r="K19" s="172">
        <v>0</v>
      </c>
      <c r="L19" s="172">
        <v>0</v>
      </c>
      <c r="M19" s="173">
        <v>0</v>
      </c>
    </row>
    <row r="20" spans="2:14" ht="27" customHeight="1" x14ac:dyDescent="0.2">
      <c r="B20" s="135" t="e">
        <f>B18</f>
        <v>#REF!</v>
      </c>
      <c r="D20" s="159"/>
      <c r="F20" s="202" t="s">
        <v>120</v>
      </c>
      <c r="G20" s="152" t="s">
        <v>459</v>
      </c>
      <c r="H20" s="200" t="s">
        <v>106</v>
      </c>
      <c r="I20" s="172">
        <f>'Расчет тарифа мет. инд. 5 лет'!W47</f>
        <v>0</v>
      </c>
      <c r="J20" s="172">
        <f>'Расчет тарифа мет. инд. 5 лет'!AB47</f>
        <v>0</v>
      </c>
      <c r="K20" s="172">
        <f>'Расчет тарифа мет. инд. 5 лет'!AG47</f>
        <v>0</v>
      </c>
      <c r="L20" s="172">
        <f>'Расчет тарифа мет. инд. 5 лет'!AL47</f>
        <v>0</v>
      </c>
      <c r="M20" s="172">
        <f>'Расчет тарифа мет. инд. 5 лет'!AQ47</f>
        <v>0</v>
      </c>
      <c r="N20" s="136" t="s">
        <v>458</v>
      </c>
    </row>
    <row r="21" spans="2:14" ht="14.25" customHeight="1" x14ac:dyDescent="0.2">
      <c r="B21" s="135" t="b">
        <v>1</v>
      </c>
      <c r="D21" s="159"/>
      <c r="F21" s="692" t="s">
        <v>476</v>
      </c>
      <c r="G21" s="692"/>
      <c r="H21" s="692"/>
      <c r="I21" s="692"/>
      <c r="J21" s="692"/>
      <c r="K21" s="692"/>
      <c r="L21" s="692"/>
      <c r="M21" s="692"/>
    </row>
    <row r="22" spans="2:14" ht="11.25" customHeight="1" x14ac:dyDescent="0.2">
      <c r="B22" s="135" t="e">
        <f>#REF!</f>
        <v>#REF!</v>
      </c>
      <c r="C22" s="135" t="e">
        <f>INDEX([2]Тарифы!$AC$86:$AC$99,MATCH(#REF!,[2]Тарифы!$Y$86:$Y$99,0))</f>
        <v>#REF!</v>
      </c>
      <c r="D22" s="159"/>
      <c r="F22" s="704" t="s">
        <v>426</v>
      </c>
      <c r="G22" s="705" t="s">
        <v>430</v>
      </c>
      <c r="H22" s="694" t="s">
        <v>428</v>
      </c>
      <c r="I22" s="699" t="s">
        <v>431</v>
      </c>
      <c r="J22" s="700"/>
      <c r="K22" s="700"/>
      <c r="L22" s="700"/>
      <c r="M22" s="707"/>
    </row>
    <row r="23" spans="2:14" ht="11.25" customHeight="1" x14ac:dyDescent="0.2">
      <c r="B23" s="135" t="e">
        <f>B22</f>
        <v>#REF!</v>
      </c>
      <c r="D23" s="159"/>
      <c r="F23" s="704"/>
      <c r="G23" s="706"/>
      <c r="H23" s="694"/>
      <c r="I23" s="194" t="s">
        <v>485</v>
      </c>
      <c r="J23" s="194" t="s">
        <v>486</v>
      </c>
      <c r="K23" s="194" t="s">
        <v>487</v>
      </c>
      <c r="L23" s="201" t="s">
        <v>488</v>
      </c>
      <c r="M23" s="201" t="s">
        <v>516</v>
      </c>
    </row>
    <row r="24" spans="2:14" ht="22.5" customHeight="1" x14ac:dyDescent="0.2">
      <c r="B24" s="135" t="e">
        <f>B23</f>
        <v>#REF!</v>
      </c>
      <c r="D24" s="160">
        <f>'[2]Объемы ВО'!G36</f>
        <v>0</v>
      </c>
      <c r="E24" s="164"/>
      <c r="F24" s="202">
        <v>1</v>
      </c>
      <c r="G24" s="152" t="s">
        <v>475</v>
      </c>
      <c r="H24" s="137" t="s">
        <v>432</v>
      </c>
      <c r="I24" s="172">
        <f>I25</f>
        <v>1.0145299999999999</v>
      </c>
      <c r="J24" s="172">
        <f t="shared" ref="J24:M24" si="0">J25</f>
        <v>1.0145299999999999</v>
      </c>
      <c r="K24" s="172">
        <f t="shared" si="0"/>
        <v>1.0145299999999999</v>
      </c>
      <c r="L24" s="172">
        <f t="shared" si="0"/>
        <v>1.0145299999999999</v>
      </c>
      <c r="M24" s="172">
        <f t="shared" si="0"/>
        <v>1.0145299999999999</v>
      </c>
    </row>
    <row r="25" spans="2:14" ht="11.25" customHeight="1" x14ac:dyDescent="0.2">
      <c r="B25" s="135" t="e">
        <f>#REF!</f>
        <v>#REF!</v>
      </c>
      <c r="D25" s="160">
        <f>'[2]Объемы ВО'!$G$40</f>
        <v>0</v>
      </c>
      <c r="E25" s="164"/>
      <c r="F25" s="194">
        <v>2</v>
      </c>
      <c r="G25" s="152" t="s">
        <v>435</v>
      </c>
      <c r="H25" s="137" t="s">
        <v>432</v>
      </c>
      <c r="I25" s="172">
        <f>I26+I27+I28</f>
        <v>1.0145299999999999</v>
      </c>
      <c r="J25" s="172">
        <f t="shared" ref="J25:J28" si="1">I25</f>
        <v>1.0145299999999999</v>
      </c>
      <c r="K25" s="172">
        <f t="shared" ref="K25:K28" si="2">I25</f>
        <v>1.0145299999999999</v>
      </c>
      <c r="L25" s="172">
        <f t="shared" ref="L25:L28" si="3">I25</f>
        <v>1.0145299999999999</v>
      </c>
      <c r="M25" s="172">
        <f t="shared" ref="M25:M28" si="4">I25</f>
        <v>1.0145299999999999</v>
      </c>
    </row>
    <row r="26" spans="2:14" ht="11.25" customHeight="1" x14ac:dyDescent="0.2">
      <c r="B26" s="135" t="e">
        <f>AND(#REF!,REGULATION_METHODS&lt;&gt;"Метод сравнения аналогов")</f>
        <v>#REF!</v>
      </c>
      <c r="D26" s="161" t="s">
        <v>436</v>
      </c>
      <c r="E26" s="165"/>
      <c r="F26" s="202" t="s">
        <v>478</v>
      </c>
      <c r="G26" s="151" t="s">
        <v>437</v>
      </c>
      <c r="H26" s="137" t="s">
        <v>432</v>
      </c>
      <c r="I26" s="172">
        <f>'Расчет тарифа мет. инд. 5 лет'!W19</f>
        <v>0.434</v>
      </c>
      <c r="J26" s="172">
        <f t="shared" si="1"/>
        <v>0.434</v>
      </c>
      <c r="K26" s="172">
        <f t="shared" si="2"/>
        <v>0.434</v>
      </c>
      <c r="L26" s="172">
        <f t="shared" si="3"/>
        <v>0.434</v>
      </c>
      <c r="M26" s="172">
        <f t="shared" si="4"/>
        <v>0.434</v>
      </c>
    </row>
    <row r="27" spans="2:14" ht="11.25" customHeight="1" x14ac:dyDescent="0.2">
      <c r="B27" s="135" t="e">
        <f>B26</f>
        <v>#REF!</v>
      </c>
      <c r="D27" s="161" t="s">
        <v>438</v>
      </c>
      <c r="E27" s="165"/>
      <c r="F27" s="202" t="s">
        <v>492</v>
      </c>
      <c r="G27" s="151" t="s">
        <v>433</v>
      </c>
      <c r="H27" s="137" t="s">
        <v>432</v>
      </c>
      <c r="I27" s="172">
        <f>'Расчет тарифа мет. инд. 5 лет'!W21</f>
        <v>0.58052999999999999</v>
      </c>
      <c r="J27" s="172">
        <f t="shared" si="1"/>
        <v>0.58052999999999999</v>
      </c>
      <c r="K27" s="172">
        <f t="shared" si="2"/>
        <v>0.58052999999999999</v>
      </c>
      <c r="L27" s="172">
        <f t="shared" si="3"/>
        <v>0.58052999999999999</v>
      </c>
      <c r="M27" s="172">
        <f t="shared" si="4"/>
        <v>0.58052999999999999</v>
      </c>
    </row>
    <row r="28" spans="2:14" ht="11.25" customHeight="1" x14ac:dyDescent="0.2">
      <c r="B28" s="135" t="e">
        <f>B27</f>
        <v>#REF!</v>
      </c>
      <c r="D28" s="161" t="s">
        <v>439</v>
      </c>
      <c r="E28" s="165"/>
      <c r="F28" s="202" t="s">
        <v>308</v>
      </c>
      <c r="G28" s="151" t="s">
        <v>434</v>
      </c>
      <c r="H28" s="137" t="s">
        <v>432</v>
      </c>
      <c r="I28" s="172">
        <f>'Расчет тарифа мет. инд. 5 лет'!W20</f>
        <v>0</v>
      </c>
      <c r="J28" s="172">
        <f t="shared" si="1"/>
        <v>0</v>
      </c>
      <c r="K28" s="172">
        <f t="shared" si="2"/>
        <v>0</v>
      </c>
      <c r="L28" s="172">
        <f t="shared" si="3"/>
        <v>0</v>
      </c>
      <c r="M28" s="172">
        <f t="shared" si="4"/>
        <v>0</v>
      </c>
    </row>
    <row r="29" spans="2:14" ht="14.25" customHeight="1" x14ac:dyDescent="0.2">
      <c r="B29" s="135"/>
      <c r="D29" s="161"/>
      <c r="E29" s="165"/>
      <c r="F29" s="741" t="s">
        <v>102</v>
      </c>
      <c r="G29" s="741"/>
      <c r="H29" s="741"/>
      <c r="I29" s="741"/>
      <c r="J29" s="741"/>
      <c r="K29" s="741"/>
      <c r="L29" s="741"/>
      <c r="M29" s="741"/>
    </row>
    <row r="30" spans="2:14" ht="16.5" customHeight="1" x14ac:dyDescent="0.2">
      <c r="D30" s="159"/>
      <c r="F30" s="692" t="s">
        <v>462</v>
      </c>
      <c r="G30" s="692"/>
      <c r="H30" s="692"/>
      <c r="I30" s="692"/>
      <c r="J30" s="692"/>
      <c r="K30" s="692"/>
      <c r="L30" s="692"/>
      <c r="M30" s="692"/>
    </row>
    <row r="31" spans="2:14" ht="11.25" customHeight="1" x14ac:dyDescent="0.2">
      <c r="D31" s="159"/>
      <c r="F31" s="703" t="s">
        <v>426</v>
      </c>
      <c r="G31" s="695" t="s">
        <v>440</v>
      </c>
      <c r="H31" s="694" t="s">
        <v>428</v>
      </c>
      <c r="I31" s="699" t="s">
        <v>431</v>
      </c>
      <c r="J31" s="699"/>
      <c r="K31" s="699"/>
      <c r="L31" s="699"/>
      <c r="M31" s="699"/>
    </row>
    <row r="32" spans="2:14" ht="11.25" customHeight="1" x14ac:dyDescent="0.2">
      <c r="D32" s="159"/>
      <c r="F32" s="703"/>
      <c r="G32" s="696"/>
      <c r="H32" s="694"/>
      <c r="I32" s="194" t="s">
        <v>485</v>
      </c>
      <c r="J32" s="194" t="s">
        <v>486</v>
      </c>
      <c r="K32" s="194" t="s">
        <v>487</v>
      </c>
      <c r="L32" s="201" t="s">
        <v>488</v>
      </c>
      <c r="M32" s="201" t="s">
        <v>516</v>
      </c>
    </row>
    <row r="33" spans="2:13" ht="22.5" customHeight="1" x14ac:dyDescent="0.2">
      <c r="D33" s="159"/>
      <c r="F33" s="202" t="s">
        <v>441</v>
      </c>
      <c r="G33" s="152" t="s">
        <v>493</v>
      </c>
      <c r="H33" s="200" t="s">
        <v>106</v>
      </c>
      <c r="I33" s="174">
        <f>'Расчет тарифа мет. инд. 5 лет'!W172</f>
        <v>381.12458088703596</v>
      </c>
      <c r="J33" s="174">
        <f>'Расчет тарифа мет. инд. 5 лет'!AB172</f>
        <v>397.50290101839647</v>
      </c>
      <c r="K33" s="174">
        <f>'Расчет тарифа мет. инд. 5 лет'!AG172</f>
        <v>420.97529500711249</v>
      </c>
      <c r="L33" s="174">
        <f>'Расчет тарифа мет. инд. 5 лет'!AL172</f>
        <v>433.76330376982685</v>
      </c>
      <c r="M33" s="174">
        <f>'Расчет тарифа мет. инд. 5 лет'!AQ172</f>
        <v>457.98186564948128</v>
      </c>
    </row>
    <row r="34" spans="2:13" ht="11.25" customHeight="1" x14ac:dyDescent="0.2">
      <c r="D34" s="159"/>
      <c r="F34" s="202" t="s">
        <v>18</v>
      </c>
      <c r="G34" s="156" t="s">
        <v>30</v>
      </c>
      <c r="H34" s="200" t="s">
        <v>106</v>
      </c>
      <c r="I34" s="174">
        <f>'Расчет тарифа мет. инд. 5 лет'!W25</f>
        <v>402.30772496023371</v>
      </c>
      <c r="J34" s="174">
        <f>'Расчет тарифа мет. инд. 5 лет'!AB25</f>
        <v>415.41088756218846</v>
      </c>
      <c r="K34" s="174">
        <f>'Расчет тарифа мет. инд. 5 лет'!AG25</f>
        <v>427.70704983402936</v>
      </c>
      <c r="L34" s="174">
        <f>'Расчет тарифа мет. инд. 5 лет'!AL25</f>
        <v>440.36717850911657</v>
      </c>
      <c r="M34" s="174">
        <f>'Расчет тарифа мет. инд. 5 лет'!AQ25</f>
        <v>453.40204699298647</v>
      </c>
    </row>
    <row r="35" spans="2:13" ht="11.25" customHeight="1" x14ac:dyDescent="0.2">
      <c r="D35" s="159"/>
      <c r="F35" s="202" t="s">
        <v>20</v>
      </c>
      <c r="G35" s="156" t="s">
        <v>103</v>
      </c>
      <c r="H35" s="200" t="s">
        <v>106</v>
      </c>
      <c r="I35" s="174">
        <f>'Расчет тарифа мет. инд. 5 лет'!W74</f>
        <v>0</v>
      </c>
      <c r="J35" s="174">
        <f>'Расчет тарифа мет. инд. 5 лет'!AB74</f>
        <v>0</v>
      </c>
      <c r="K35" s="174">
        <f>'Расчет тарифа мет. инд. 5 лет'!AG74</f>
        <v>0</v>
      </c>
      <c r="L35" s="174">
        <f>'Расчет тарифа мет. инд. 5 лет'!AL74</f>
        <v>0</v>
      </c>
      <c r="M35" s="174">
        <f>'Расчет тарифа мет. инд. 5 лет'!AQ74</f>
        <v>0</v>
      </c>
    </row>
    <row r="36" spans="2:13" ht="15" customHeight="1" x14ac:dyDescent="0.2">
      <c r="C36" s="135" t="str">
        <f>[2]Тарифы!$X$87</f>
        <v>1ВО::1.1</v>
      </c>
      <c r="D36" s="159"/>
      <c r="F36" s="195" t="s">
        <v>295</v>
      </c>
      <c r="G36" s="152" t="s">
        <v>474</v>
      </c>
      <c r="H36" s="200" t="s">
        <v>106</v>
      </c>
      <c r="I36" s="175">
        <v>0</v>
      </c>
      <c r="J36" s="175">
        <v>0</v>
      </c>
      <c r="K36" s="175">
        <v>0</v>
      </c>
      <c r="L36" s="175">
        <v>0</v>
      </c>
      <c r="M36" s="175">
        <v>0</v>
      </c>
    </row>
    <row r="37" spans="2:13" ht="15" customHeight="1" x14ac:dyDescent="0.2">
      <c r="D37" s="159"/>
      <c r="F37" s="195" t="s">
        <v>314</v>
      </c>
      <c r="G37" s="157" t="s">
        <v>494</v>
      </c>
      <c r="H37" s="200" t="s">
        <v>106</v>
      </c>
      <c r="I37" s="176">
        <f>I33+I36</f>
        <v>381.12458088703596</v>
      </c>
      <c r="J37" s="176">
        <f t="shared" ref="J37:M37" si="5">J33+J36</f>
        <v>397.50290101839647</v>
      </c>
      <c r="K37" s="176">
        <f t="shared" si="5"/>
        <v>420.97529500711249</v>
      </c>
      <c r="L37" s="176">
        <f t="shared" si="5"/>
        <v>433.76330376982685</v>
      </c>
      <c r="M37" s="176">
        <f t="shared" si="5"/>
        <v>457.98186564948128</v>
      </c>
    </row>
    <row r="38" spans="2:13" ht="18" customHeight="1" x14ac:dyDescent="0.2">
      <c r="D38" s="159"/>
      <c r="F38" s="709" t="s">
        <v>463</v>
      </c>
      <c r="G38" s="709"/>
      <c r="H38" s="709"/>
      <c r="I38" s="709"/>
      <c r="J38" s="709"/>
      <c r="K38" s="709"/>
      <c r="L38" s="709"/>
      <c r="M38" s="709"/>
    </row>
    <row r="39" spans="2:13" ht="11.25" customHeight="1" x14ac:dyDescent="0.2">
      <c r="D39" s="159"/>
      <c r="F39" s="202" t="s">
        <v>426</v>
      </c>
      <c r="G39" s="201" t="s">
        <v>442</v>
      </c>
      <c r="H39" s="700" t="s">
        <v>477</v>
      </c>
      <c r="I39" s="700"/>
      <c r="J39" s="700"/>
      <c r="K39" s="700"/>
      <c r="L39" s="700"/>
      <c r="M39" s="700"/>
    </row>
    <row r="40" spans="2:13" ht="25.5" customHeight="1" x14ac:dyDescent="0.2">
      <c r="D40" s="159"/>
      <c r="F40" s="202" t="s">
        <v>441</v>
      </c>
      <c r="G40" s="152" t="str">
        <f>G18</f>
        <v>Текущий и капитальный ремонт и обслуживание объектов централизованной системы водоотведения за счет тарифных источников</v>
      </c>
      <c r="H40" s="722" t="str">
        <f>H14</f>
        <v>с 01.01.2025 по 31.12.2029</v>
      </c>
      <c r="I40" s="723"/>
      <c r="J40" s="723"/>
      <c r="K40" s="723"/>
      <c r="L40" s="723"/>
      <c r="M40" s="724"/>
    </row>
    <row r="41" spans="2:13" ht="36" customHeight="1" x14ac:dyDescent="0.2">
      <c r="D41" s="159"/>
      <c r="F41" s="202" t="s">
        <v>102</v>
      </c>
      <c r="G41" s="152" t="str">
        <f>G19</f>
        <v>Текущий и капитальный ремонт и обслуживание объектов централизованной системы водоотведения за счет платы за негативное воздействие на централизованную систему водоотведения</v>
      </c>
      <c r="H41" s="725"/>
      <c r="I41" s="726"/>
      <c r="J41" s="726"/>
      <c r="K41" s="726"/>
      <c r="L41" s="726"/>
      <c r="M41" s="727"/>
    </row>
    <row r="42" spans="2:13" ht="29.25" customHeight="1" x14ac:dyDescent="0.2">
      <c r="D42" s="159"/>
      <c r="F42" s="195">
        <v>3</v>
      </c>
      <c r="G42" s="152" t="s">
        <v>459</v>
      </c>
      <c r="H42" s="728"/>
      <c r="I42" s="729"/>
      <c r="J42" s="729"/>
      <c r="K42" s="729"/>
      <c r="L42" s="729"/>
      <c r="M42" s="730"/>
    </row>
    <row r="43" spans="2:13" ht="54.75" customHeight="1" x14ac:dyDescent="0.2">
      <c r="D43" s="159"/>
      <c r="F43" s="708" t="s">
        <v>504</v>
      </c>
      <c r="G43" s="708"/>
      <c r="H43" s="708"/>
      <c r="I43" s="708"/>
      <c r="J43" s="708"/>
      <c r="K43" s="708"/>
      <c r="L43" s="708"/>
      <c r="M43" s="708"/>
    </row>
    <row r="44" spans="2:13" ht="12" customHeight="1" x14ac:dyDescent="0.2">
      <c r="D44" s="159"/>
      <c r="F44" s="694" t="s">
        <v>426</v>
      </c>
      <c r="G44" s="695" t="s">
        <v>440</v>
      </c>
      <c r="H44" s="694" t="s">
        <v>428</v>
      </c>
      <c r="I44" s="699" t="s">
        <v>431</v>
      </c>
      <c r="J44" s="700"/>
      <c r="K44" s="700"/>
      <c r="L44" s="700"/>
      <c r="M44" s="707"/>
    </row>
    <row r="45" spans="2:13" ht="14.25" customHeight="1" x14ac:dyDescent="0.2">
      <c r="D45" s="159"/>
      <c r="F45" s="694"/>
      <c r="G45" s="695"/>
      <c r="H45" s="694"/>
      <c r="I45" s="194" t="s">
        <v>485</v>
      </c>
      <c r="J45" s="194" t="s">
        <v>486</v>
      </c>
      <c r="K45" s="194" t="s">
        <v>487</v>
      </c>
      <c r="L45" s="201" t="s">
        <v>488</v>
      </c>
      <c r="M45" s="201" t="s">
        <v>516</v>
      </c>
    </row>
    <row r="46" spans="2:13" ht="12" customHeight="1" x14ac:dyDescent="0.2">
      <c r="B46" s="135" t="e">
        <f>OR(B47,#REF!,B48)</f>
        <v>#REF!</v>
      </c>
      <c r="C46" s="135" t="e">
        <f>#REF!</f>
        <v>#REF!</v>
      </c>
      <c r="D46" s="159"/>
      <c r="F46" s="138">
        <v>1</v>
      </c>
      <c r="G46" s="710" t="s">
        <v>446</v>
      </c>
      <c r="H46" s="711"/>
      <c r="I46" s="711"/>
      <c r="J46" s="711"/>
      <c r="K46" s="711"/>
      <c r="L46" s="711"/>
      <c r="M46" s="711"/>
    </row>
    <row r="47" spans="2:13" ht="11.25" customHeight="1" x14ac:dyDescent="0.2">
      <c r="B47" s="135" t="e">
        <f>AND(C46="Водоотведение",OR(region_name&lt;&gt;"Ленинградская область",C47&lt;&gt;"Тариф на транспортировку сточных вод"))</f>
        <v>#REF!</v>
      </c>
      <c r="C47" s="135" t="e">
        <f>#REF!</f>
        <v>#REF!</v>
      </c>
      <c r="D47" s="159"/>
      <c r="F47" s="139" t="s">
        <v>18</v>
      </c>
      <c r="G47" s="151" t="s">
        <v>495</v>
      </c>
      <c r="H47" s="140" t="s">
        <v>24</v>
      </c>
      <c r="I47" s="177">
        <f>'КиН из заключения'!E4</f>
        <v>0</v>
      </c>
      <c r="J47" s="177">
        <f>'КиН из заключения'!F4</f>
        <v>0</v>
      </c>
      <c r="K47" s="177">
        <f>'КиН из заключения'!G4</f>
        <v>0</v>
      </c>
      <c r="L47" s="177">
        <v>0</v>
      </c>
      <c r="M47" s="177">
        <v>0</v>
      </c>
    </row>
    <row r="48" spans="2:13" ht="12.75" customHeight="1" x14ac:dyDescent="0.2">
      <c r="B48" s="135" t="e">
        <f>AND(C46="Водоотведение",OR(region_name&lt;&gt;"Ленинградская область",C47&lt;&gt;"Тариф на транспортировку сточных вод"))</f>
        <v>#REF!</v>
      </c>
      <c r="D48" s="159"/>
      <c r="F48" s="200" t="s">
        <v>20</v>
      </c>
      <c r="G48" s="151" t="s">
        <v>496</v>
      </c>
      <c r="H48" s="140" t="s">
        <v>24</v>
      </c>
      <c r="I48" s="177">
        <f>'КиН из заключения'!E5</f>
        <v>0</v>
      </c>
      <c r="J48" s="177">
        <f>'КиН из заключения'!F5</f>
        <v>0</v>
      </c>
      <c r="K48" s="177">
        <f>'КиН из заключения'!G5</f>
        <v>0</v>
      </c>
      <c r="L48" s="177">
        <f>'КиН из заключения'!H5</f>
        <v>0</v>
      </c>
      <c r="M48" s="177">
        <f>'КиН из заключения'!I5</f>
        <v>0</v>
      </c>
    </row>
    <row r="49" spans="2:13" ht="17.25" customHeight="1" x14ac:dyDescent="0.2">
      <c r="B49" s="135" t="e">
        <f>B50</f>
        <v>#REF!</v>
      </c>
      <c r="D49" s="159"/>
      <c r="F49" s="200">
        <v>2</v>
      </c>
      <c r="G49" s="710" t="s">
        <v>447</v>
      </c>
      <c r="H49" s="711"/>
      <c r="I49" s="711"/>
      <c r="J49" s="711"/>
      <c r="K49" s="711"/>
      <c r="L49" s="711"/>
      <c r="M49" s="711"/>
    </row>
    <row r="50" spans="2:13" ht="12" customHeight="1" x14ac:dyDescent="0.2">
      <c r="B50" s="135" t="e">
        <f>C46="Водоотведение"</f>
        <v>#REF!</v>
      </c>
      <c r="D50" s="159"/>
      <c r="F50" s="200" t="s">
        <v>478</v>
      </c>
      <c r="G50" s="170" t="s">
        <v>498</v>
      </c>
      <c r="H50" s="140" t="s">
        <v>443</v>
      </c>
      <c r="I50" s="177">
        <f>'КиН из заключения'!E6</f>
        <v>0</v>
      </c>
      <c r="J50" s="177">
        <f>'КиН из заключения'!F6</f>
        <v>0</v>
      </c>
      <c r="K50" s="177">
        <f>'КиН из заключения'!G6</f>
        <v>0</v>
      </c>
      <c r="L50" s="177">
        <v>0</v>
      </c>
      <c r="M50" s="177">
        <v>0</v>
      </c>
    </row>
    <row r="51" spans="2:13" ht="13.5" customHeight="1" x14ac:dyDescent="0.2">
      <c r="B51" s="135" t="e">
        <f>OR(B52,#REF!)</f>
        <v>#REF!</v>
      </c>
      <c r="D51" s="159"/>
      <c r="F51" s="200">
        <v>3</v>
      </c>
      <c r="G51" s="710" t="s">
        <v>444</v>
      </c>
      <c r="H51" s="711"/>
      <c r="I51" s="711"/>
      <c r="J51" s="711"/>
      <c r="K51" s="711"/>
      <c r="L51" s="711"/>
      <c r="M51" s="711"/>
    </row>
    <row r="52" spans="2:13" ht="16.5" customHeight="1" x14ac:dyDescent="0.2">
      <c r="B52" s="135" t="e">
        <f>AND(C46="Водоотведение",C47&lt;&gt;"Тариф на транспортировку сточных вод")</f>
        <v>#REF!</v>
      </c>
      <c r="D52" s="159"/>
      <c r="F52" s="200" t="s">
        <v>122</v>
      </c>
      <c r="G52" s="170" t="s">
        <v>497</v>
      </c>
      <c r="H52" s="142" t="s">
        <v>445</v>
      </c>
      <c r="I52" s="177">
        <f>'Расчет тарифа мет. инд. 5 лет'!V196</f>
        <v>0</v>
      </c>
      <c r="J52" s="177">
        <f>'Расчет тарифа мет. инд. 5 лет'!AB196</f>
        <v>0</v>
      </c>
      <c r="K52" s="177">
        <f>'Расчет тарифа мет. инд. 5 лет'!AG196</f>
        <v>0</v>
      </c>
      <c r="L52" s="177">
        <v>0</v>
      </c>
      <c r="M52" s="177">
        <v>0</v>
      </c>
    </row>
    <row r="53" spans="2:13" ht="13.5" customHeight="1" x14ac:dyDescent="0.2">
      <c r="B53" s="135"/>
      <c r="D53" s="159"/>
      <c r="F53" s="741" t="s">
        <v>120</v>
      </c>
      <c r="G53" s="741"/>
      <c r="H53" s="741"/>
      <c r="I53" s="741"/>
      <c r="J53" s="741"/>
      <c r="K53" s="741"/>
      <c r="L53" s="741"/>
      <c r="M53" s="741"/>
    </row>
    <row r="54" spans="2:13" ht="38.25" customHeight="1" x14ac:dyDescent="0.2">
      <c r="B54" s="135" t="b">
        <v>1</v>
      </c>
      <c r="D54" s="159"/>
      <c r="F54" s="693" t="s">
        <v>461</v>
      </c>
      <c r="G54" s="693"/>
      <c r="H54" s="693"/>
      <c r="I54" s="693"/>
      <c r="J54" s="693"/>
      <c r="K54" s="693"/>
      <c r="L54" s="693"/>
      <c r="M54" s="693"/>
    </row>
    <row r="55" spans="2:13" ht="12" customHeight="1" x14ac:dyDescent="0.2">
      <c r="B55" s="135" t="b">
        <v>1</v>
      </c>
      <c r="D55" s="162"/>
      <c r="E55" s="166"/>
      <c r="F55" s="704" t="s">
        <v>426</v>
      </c>
      <c r="G55" s="694" t="s">
        <v>440</v>
      </c>
      <c r="H55" s="694" t="s">
        <v>428</v>
      </c>
      <c r="I55" s="694" t="s">
        <v>448</v>
      </c>
      <c r="J55" s="694"/>
      <c r="K55" s="694"/>
      <c r="L55" s="694"/>
      <c r="M55" s="694"/>
    </row>
    <row r="56" spans="2:13" ht="13.5" customHeight="1" x14ac:dyDescent="0.2">
      <c r="B56" s="135" t="b">
        <v>1</v>
      </c>
      <c r="D56" s="162"/>
      <c r="E56" s="166"/>
      <c r="F56" s="704"/>
      <c r="G56" s="694"/>
      <c r="H56" s="694"/>
      <c r="I56" s="194" t="s">
        <v>485</v>
      </c>
      <c r="J56" s="194" t="s">
        <v>486</v>
      </c>
      <c r="K56" s="194" t="s">
        <v>487</v>
      </c>
      <c r="L56" s="201" t="s">
        <v>488</v>
      </c>
      <c r="M56" s="201" t="s">
        <v>516</v>
      </c>
    </row>
    <row r="57" spans="2:13" ht="15" customHeight="1" x14ac:dyDescent="0.2">
      <c r="B57" s="135" t="e">
        <f>B46</f>
        <v>#REF!</v>
      </c>
      <c r="C57" s="135" t="e">
        <f>#REF!</f>
        <v>#REF!</v>
      </c>
      <c r="D57" s="163"/>
      <c r="E57" s="167"/>
      <c r="F57" s="138">
        <v>1</v>
      </c>
      <c r="G57" s="710" t="s">
        <v>446</v>
      </c>
      <c r="H57" s="711"/>
      <c r="I57" s="711"/>
      <c r="J57" s="711"/>
      <c r="K57" s="711"/>
      <c r="L57" s="711"/>
      <c r="M57" s="712"/>
    </row>
    <row r="58" spans="2:13" ht="13.5" customHeight="1" x14ac:dyDescent="0.2">
      <c r="B58" s="135" t="e">
        <f>B47</f>
        <v>#REF!</v>
      </c>
      <c r="D58" s="163"/>
      <c r="E58" s="167"/>
      <c r="F58" s="139" t="s">
        <v>18</v>
      </c>
      <c r="G58" s="151" t="s">
        <v>495</v>
      </c>
      <c r="H58" s="140" t="s">
        <v>24</v>
      </c>
      <c r="I58" s="172">
        <f>I47</f>
        <v>0</v>
      </c>
      <c r="J58" s="172">
        <f>J47</f>
        <v>0</v>
      </c>
      <c r="K58" s="172">
        <f>K47</f>
        <v>0</v>
      </c>
      <c r="L58" s="172">
        <f>L47</f>
        <v>0</v>
      </c>
      <c r="M58" s="172">
        <f>M47</f>
        <v>0</v>
      </c>
    </row>
    <row r="59" spans="2:13" ht="13.5" customHeight="1" x14ac:dyDescent="0.2">
      <c r="B59" s="135" t="e">
        <f>B58</f>
        <v>#REF!</v>
      </c>
      <c r="D59" s="163"/>
      <c r="E59" s="167"/>
      <c r="F59" s="139"/>
      <c r="G59" s="149" t="s">
        <v>449</v>
      </c>
      <c r="H59" s="140" t="s">
        <v>24</v>
      </c>
      <c r="I59" s="178" t="s">
        <v>231</v>
      </c>
      <c r="J59" s="172">
        <f>IF(I58=0,0,(J58-I58)/I58*100)</f>
        <v>0</v>
      </c>
      <c r="K59" s="172">
        <f>IF(J58=0,0,(K58-J58)/J58*100)</f>
        <v>0</v>
      </c>
      <c r="L59" s="172">
        <f>IF(K58=0,0,(L58-K58)/K58*100)</f>
        <v>0</v>
      </c>
      <c r="M59" s="172">
        <f>IF(L58=0,0,(M58-L58)/L58*100)</f>
        <v>0</v>
      </c>
    </row>
    <row r="60" spans="2:13" ht="9.75" hidden="1" customHeight="1" x14ac:dyDescent="0.2">
      <c r="B60" s="135" t="e">
        <f>#REF!</f>
        <v>#REF!</v>
      </c>
      <c r="C60" s="135" t="e">
        <f>INDEX([2]Тарифы!$AF$86:$AF$99,MATCH(#REF!,[2]Тарифы!$Y$86:$Y$99,0))</f>
        <v>#REF!</v>
      </c>
      <c r="D60" s="163"/>
      <c r="E60" s="167"/>
      <c r="F60" s="139" t="s">
        <v>20</v>
      </c>
      <c r="G60" s="151" t="s">
        <v>479</v>
      </c>
      <c r="H60" s="140" t="s">
        <v>24</v>
      </c>
      <c r="I60" s="172" t="e">
        <f>#REF!</f>
        <v>#REF!</v>
      </c>
      <c r="J60" s="172" t="e">
        <f>#REF!</f>
        <v>#REF!</v>
      </c>
      <c r="K60" s="172" t="e">
        <f>#REF!</f>
        <v>#REF!</v>
      </c>
      <c r="L60" s="172" t="e">
        <f>#REF!</f>
        <v>#REF!</v>
      </c>
      <c r="M60" s="172" t="e">
        <f>#REF!</f>
        <v>#REF!</v>
      </c>
    </row>
    <row r="61" spans="2:13" ht="9.75" hidden="1" customHeight="1" x14ac:dyDescent="0.2">
      <c r="B61" s="135" t="e">
        <f>B60</f>
        <v>#REF!</v>
      </c>
      <c r="D61" s="163"/>
      <c r="E61" s="167"/>
      <c r="F61" s="139"/>
      <c r="G61" s="149" t="s">
        <v>449</v>
      </c>
      <c r="H61" s="140" t="s">
        <v>24</v>
      </c>
      <c r="I61" s="178" t="e">
        <f>IF(H60=0,0,(I60-H60)/H60*100)</f>
        <v>#REF!</v>
      </c>
      <c r="J61" s="172" t="e">
        <f>IF(I60=0,0,(J60-I60)/I60*100)</f>
        <v>#REF!</v>
      </c>
      <c r="K61" s="172" t="e">
        <f>IF(J60=0,0,(K60-J60)/J60*100)</f>
        <v>#REF!</v>
      </c>
      <c r="L61" s="172" t="e">
        <f>IF(K60=0,0,(L60-K60)/K60*100)</f>
        <v>#REF!</v>
      </c>
      <c r="M61" s="172" t="e">
        <f>IF(L60=0,0,(M60-L60)/L60*100)</f>
        <v>#REF!</v>
      </c>
    </row>
    <row r="62" spans="2:13" ht="14.25" customHeight="1" x14ac:dyDescent="0.2">
      <c r="B62" s="135" t="e">
        <f>B48</f>
        <v>#REF!</v>
      </c>
      <c r="D62" s="163"/>
      <c r="E62" s="167"/>
      <c r="F62" s="139" t="s">
        <v>20</v>
      </c>
      <c r="G62" s="151" t="s">
        <v>496</v>
      </c>
      <c r="H62" s="140" t="s">
        <v>24</v>
      </c>
      <c r="I62" s="172">
        <f>I48</f>
        <v>0</v>
      </c>
      <c r="J62" s="172">
        <f>J48</f>
        <v>0</v>
      </c>
      <c r="K62" s="172">
        <f>K48</f>
        <v>0</v>
      </c>
      <c r="L62" s="172">
        <f>L48</f>
        <v>0</v>
      </c>
      <c r="M62" s="172">
        <f>M48</f>
        <v>0</v>
      </c>
    </row>
    <row r="63" spans="2:13" ht="12" customHeight="1" x14ac:dyDescent="0.2">
      <c r="B63" s="135" t="e">
        <f>B62</f>
        <v>#REF!</v>
      </c>
      <c r="D63" s="163"/>
      <c r="E63" s="167"/>
      <c r="F63" s="139"/>
      <c r="G63" s="149" t="s">
        <v>449</v>
      </c>
      <c r="H63" s="140" t="s">
        <v>24</v>
      </c>
      <c r="I63" s="178" t="s">
        <v>231</v>
      </c>
      <c r="J63" s="172">
        <f>IF(I62=0,0,(J62-I62)/I62*100)</f>
        <v>0</v>
      </c>
      <c r="K63" s="172">
        <f>IF(J62=0,0,(K62-J62)/J62*100)</f>
        <v>0</v>
      </c>
      <c r="L63" s="172">
        <f>IF(K62=0,0,(L62-K62)/K62*100)</f>
        <v>0</v>
      </c>
      <c r="M63" s="172">
        <f>IF(L62=0,0,(M62-L62)/L62*100)</f>
        <v>0</v>
      </c>
    </row>
    <row r="64" spans="2:13" ht="14.25" customHeight="1" x14ac:dyDescent="0.2">
      <c r="B64" s="135" t="e">
        <f>B49</f>
        <v>#REF!</v>
      </c>
      <c r="D64" s="163"/>
      <c r="E64" s="167"/>
      <c r="F64" s="200">
        <v>2</v>
      </c>
      <c r="G64" s="710" t="s">
        <v>447</v>
      </c>
      <c r="H64" s="711"/>
      <c r="I64" s="711"/>
      <c r="J64" s="711"/>
      <c r="K64" s="711"/>
      <c r="L64" s="711"/>
      <c r="M64" s="712"/>
    </row>
    <row r="65" spans="2:17" ht="15" customHeight="1" x14ac:dyDescent="0.2">
      <c r="B65" s="135" t="e">
        <f>B50</f>
        <v>#REF!</v>
      </c>
      <c r="D65" s="163"/>
      <c r="E65" s="167"/>
      <c r="F65" s="200" t="s">
        <v>478</v>
      </c>
      <c r="G65" s="170" t="s">
        <v>498</v>
      </c>
      <c r="H65" s="140" t="s">
        <v>443</v>
      </c>
      <c r="I65" s="172">
        <f>I50</f>
        <v>0</v>
      </c>
      <c r="J65" s="172">
        <f>J50</f>
        <v>0</v>
      </c>
      <c r="K65" s="172">
        <f>K50</f>
        <v>0</v>
      </c>
      <c r="L65" s="172">
        <f>L50</f>
        <v>0</v>
      </c>
      <c r="M65" s="172">
        <f>M50</f>
        <v>0</v>
      </c>
    </row>
    <row r="66" spans="2:17" ht="11.25" customHeight="1" x14ac:dyDescent="0.2">
      <c r="B66" s="135" t="e">
        <f>B65</f>
        <v>#REF!</v>
      </c>
      <c r="D66" s="163"/>
      <c r="E66" s="167"/>
      <c r="F66" s="139"/>
      <c r="G66" s="149" t="s">
        <v>449</v>
      </c>
      <c r="H66" s="140" t="s">
        <v>24</v>
      </c>
      <c r="I66" s="178" t="s">
        <v>231</v>
      </c>
      <c r="J66" s="172">
        <f>IF(I65=0,0,(J65-I65)/I65*100)</f>
        <v>0</v>
      </c>
      <c r="K66" s="172">
        <f>IF(J65=0,0,(K65-J65)/J65*100)</f>
        <v>0</v>
      </c>
      <c r="L66" s="172">
        <f>IF(K65=0,0,(L65-K65)/K65*100)</f>
        <v>0</v>
      </c>
      <c r="M66" s="172">
        <f>IF(L65=0,0,(M65-L65)/L65*100)</f>
        <v>0</v>
      </c>
    </row>
    <row r="67" spans="2:17" ht="14.25" customHeight="1" x14ac:dyDescent="0.2">
      <c r="B67" s="135" t="e">
        <f>B51</f>
        <v>#REF!</v>
      </c>
      <c r="D67" s="163"/>
      <c r="E67" s="167"/>
      <c r="F67" s="200">
        <v>3</v>
      </c>
      <c r="G67" s="710" t="s">
        <v>444</v>
      </c>
      <c r="H67" s="711"/>
      <c r="I67" s="711"/>
      <c r="J67" s="711"/>
      <c r="K67" s="711"/>
      <c r="L67" s="711"/>
      <c r="M67" s="712"/>
    </row>
    <row r="68" spans="2:17" ht="15.75" customHeight="1" x14ac:dyDescent="0.2">
      <c r="B68" s="135" t="e">
        <f>#REF!</f>
        <v>#REF!</v>
      </c>
      <c r="D68" s="163"/>
      <c r="E68" s="167"/>
      <c r="F68" s="200" t="s">
        <v>122</v>
      </c>
      <c r="G68" s="170" t="s">
        <v>497</v>
      </c>
      <c r="H68" s="142" t="s">
        <v>445</v>
      </c>
      <c r="I68" s="172">
        <f>I52</f>
        <v>0</v>
      </c>
      <c r="J68" s="172">
        <f t="shared" ref="J68:M68" si="6">J52</f>
        <v>0</v>
      </c>
      <c r="K68" s="172">
        <f t="shared" si="6"/>
        <v>0</v>
      </c>
      <c r="L68" s="172">
        <f t="shared" si="6"/>
        <v>0</v>
      </c>
      <c r="M68" s="172">
        <f t="shared" si="6"/>
        <v>0</v>
      </c>
      <c r="N68" s="133" t="s">
        <v>469</v>
      </c>
    </row>
    <row r="69" spans="2:17" x14ac:dyDescent="0.2">
      <c r="B69" s="135" t="e">
        <f>B68</f>
        <v>#REF!</v>
      </c>
      <c r="D69" s="163"/>
      <c r="E69" s="167"/>
      <c r="F69" s="139"/>
      <c r="G69" s="149" t="s">
        <v>449</v>
      </c>
      <c r="H69" s="140" t="s">
        <v>24</v>
      </c>
      <c r="I69" s="178" t="s">
        <v>231</v>
      </c>
      <c r="J69" s="172">
        <f>IF(I68=0,0,(J68-I68)/I68*100)</f>
        <v>0</v>
      </c>
      <c r="K69" s="172">
        <f>IF(J68=0,0,(K68-J68)/J68*100)</f>
        <v>0</v>
      </c>
      <c r="L69" s="172">
        <f>IF(K68=0,0,(L68-K68)/K68*100)</f>
        <v>0</v>
      </c>
      <c r="M69" s="172">
        <f>IF(L68=0,0,(M68-L68)/L68*100)</f>
        <v>0</v>
      </c>
    </row>
    <row r="70" spans="2:17" ht="16.5" customHeight="1" x14ac:dyDescent="0.2">
      <c r="D70" s="159"/>
      <c r="F70" s="693" t="s">
        <v>464</v>
      </c>
      <c r="G70" s="693"/>
      <c r="H70" s="693"/>
      <c r="I70" s="693"/>
      <c r="J70" s="693"/>
      <c r="K70" s="693"/>
      <c r="L70" s="693"/>
      <c r="M70" s="693"/>
    </row>
    <row r="71" spans="2:17" ht="33" customHeight="1" x14ac:dyDescent="0.2">
      <c r="D71" s="159"/>
      <c r="F71" s="141" t="s">
        <v>426</v>
      </c>
      <c r="G71" s="141" t="s">
        <v>440</v>
      </c>
      <c r="H71" s="194" t="s">
        <v>428</v>
      </c>
      <c r="I71" s="158" t="s">
        <v>558</v>
      </c>
      <c r="J71" s="158" t="s">
        <v>559</v>
      </c>
      <c r="K71" s="714" t="s">
        <v>457</v>
      </c>
      <c r="L71" s="714"/>
      <c r="M71" s="714"/>
      <c r="N71" s="719"/>
      <c r="O71" s="720"/>
      <c r="P71" s="720"/>
    </row>
    <row r="72" spans="2:17" ht="14.25" customHeight="1" x14ac:dyDescent="0.2">
      <c r="D72" s="159"/>
      <c r="F72" s="141" t="s">
        <v>441</v>
      </c>
      <c r="G72" s="199" t="s">
        <v>473</v>
      </c>
      <c r="H72" s="194"/>
      <c r="I72" s="176">
        <f>'Расчет тарифа мет. инд. 5 лет'!M172</f>
        <v>468.42940350267105</v>
      </c>
      <c r="J72" s="176">
        <f>'Расчет тарифа мет. инд. 5 лет'!N172</f>
        <v>322.00349999999997</v>
      </c>
      <c r="K72" s="731"/>
      <c r="L72" s="732"/>
      <c r="M72" s="733"/>
      <c r="N72" s="197"/>
      <c r="O72" s="198"/>
      <c r="P72" s="198"/>
    </row>
    <row r="73" spans="2:17" ht="11.25" customHeight="1" x14ac:dyDescent="0.2">
      <c r="D73" s="159"/>
      <c r="F73" s="141" t="s">
        <v>18</v>
      </c>
      <c r="G73" s="199" t="s">
        <v>472</v>
      </c>
      <c r="H73" s="141" t="s">
        <v>106</v>
      </c>
      <c r="I73" s="179">
        <f>'Расчет тарифа мет. инд. 5 лет'!M25</f>
        <v>464.12259700267106</v>
      </c>
      <c r="J73" s="179">
        <f>'Расчет тарифа мет. инд. 5 лет'!N25</f>
        <v>322.00349999999997</v>
      </c>
      <c r="K73" s="734"/>
      <c r="L73" s="735"/>
      <c r="M73" s="736"/>
      <c r="N73" s="719"/>
      <c r="O73" s="719"/>
      <c r="P73" s="719"/>
      <c r="Q73" s="133" t="s">
        <v>460</v>
      </c>
    </row>
    <row r="74" spans="2:17" ht="11.25" customHeight="1" x14ac:dyDescent="0.2">
      <c r="D74" s="159"/>
      <c r="F74" s="141" t="s">
        <v>35</v>
      </c>
      <c r="G74" s="199" t="s">
        <v>480</v>
      </c>
      <c r="H74" s="141" t="s">
        <v>106</v>
      </c>
      <c r="I74" s="179">
        <f>'Расчет тарифа мет. инд. 5 лет'!M26+'Расчет тарифа мет. инд. 5 лет'!M30+'Расчет тарифа мет. инд. 5 лет'!M31+'Расчет тарифа мет. инд. 5 лет'!M50</f>
        <v>328.26596927292752</v>
      </c>
      <c r="J74" s="179">
        <f>'Расчет тарифа мет. инд. 5 лет'!N26+'Расчет тарифа мет. инд. 5 лет'!N30+'Расчет тарифа мет. инд. 5 лет'!N31+'Расчет тарифа мет. инд. 5 лет'!N50</f>
        <v>257.42284000000001</v>
      </c>
      <c r="K74" s="734"/>
      <c r="L74" s="735"/>
      <c r="M74" s="736"/>
      <c r="N74" s="719"/>
      <c r="O74" s="719"/>
      <c r="P74" s="719"/>
    </row>
    <row r="75" spans="2:17" ht="11.25" customHeight="1" x14ac:dyDescent="0.2">
      <c r="D75" s="159"/>
      <c r="F75" s="141" t="s">
        <v>37</v>
      </c>
      <c r="G75" s="199" t="s">
        <v>481</v>
      </c>
      <c r="H75" s="141" t="s">
        <v>106</v>
      </c>
      <c r="I75" s="179">
        <f>'Расчет тарифа мет. инд. 5 лет'!M47</f>
        <v>0</v>
      </c>
      <c r="J75" s="179">
        <f>'Расчет тарифа мет. инд. 5 лет'!N47</f>
        <v>0</v>
      </c>
      <c r="K75" s="734"/>
      <c r="L75" s="735"/>
      <c r="M75" s="736"/>
      <c r="N75" s="719"/>
      <c r="O75" s="719"/>
      <c r="P75" s="719"/>
    </row>
    <row r="76" spans="2:17" ht="11.25" customHeight="1" x14ac:dyDescent="0.2">
      <c r="D76" s="159"/>
      <c r="F76" s="141" t="s">
        <v>102</v>
      </c>
      <c r="G76" s="199" t="s">
        <v>103</v>
      </c>
      <c r="H76" s="141" t="s">
        <v>106</v>
      </c>
      <c r="I76" s="179">
        <f>'Расчет тарифа мет. инд. 5 лет'!M74</f>
        <v>0</v>
      </c>
      <c r="J76" s="179">
        <f>'Расчет тарифа мет. инд. 5 лет'!N74</f>
        <v>0</v>
      </c>
      <c r="K76" s="734"/>
      <c r="L76" s="735"/>
      <c r="M76" s="736"/>
      <c r="N76" s="719"/>
      <c r="O76" s="719"/>
      <c r="P76" s="719"/>
    </row>
    <row r="77" spans="2:17" ht="17.25" customHeight="1" x14ac:dyDescent="0.2">
      <c r="D77" s="159"/>
      <c r="F77" s="141" t="s">
        <v>120</v>
      </c>
      <c r="G77" s="199" t="s">
        <v>474</v>
      </c>
      <c r="H77" s="141" t="s">
        <v>106</v>
      </c>
      <c r="I77" s="179">
        <v>0</v>
      </c>
      <c r="J77" s="179">
        <v>0</v>
      </c>
      <c r="K77" s="734"/>
      <c r="L77" s="735"/>
      <c r="M77" s="736"/>
      <c r="N77" s="719"/>
      <c r="O77" s="719"/>
      <c r="P77" s="719"/>
    </row>
    <row r="78" spans="2:17" ht="12.75" customHeight="1" x14ac:dyDescent="0.2">
      <c r="D78" s="159"/>
      <c r="F78" s="141" t="s">
        <v>455</v>
      </c>
      <c r="G78" s="171" t="str">
        <f>G37</f>
        <v>Всего за счет тарифных и прочих источников</v>
      </c>
      <c r="H78" s="141"/>
      <c r="I78" s="179"/>
      <c r="J78" s="179"/>
      <c r="K78" s="734"/>
      <c r="L78" s="735"/>
      <c r="M78" s="736"/>
      <c r="N78" s="719"/>
      <c r="O78" s="719"/>
      <c r="P78" s="719"/>
    </row>
    <row r="79" spans="2:17" ht="15" customHeight="1" x14ac:dyDescent="0.2">
      <c r="D79" s="159"/>
      <c r="F79" s="141" t="s">
        <v>456</v>
      </c>
      <c r="G79" s="199" t="s">
        <v>466</v>
      </c>
      <c r="H79" s="141" t="s">
        <v>467</v>
      </c>
      <c r="I79" s="180">
        <f>'Расчет тарифа мет. инд. 5 лет'!M17</f>
        <v>0.99249999999999994</v>
      </c>
      <c r="J79" s="180">
        <f>'Расчет тарифа мет. инд. 5 лет'!N17</f>
        <v>1.0145299999999999</v>
      </c>
      <c r="K79" s="734"/>
      <c r="L79" s="735"/>
      <c r="M79" s="736"/>
      <c r="N79" s="719"/>
      <c r="O79" s="719"/>
      <c r="P79" s="719"/>
    </row>
    <row r="80" spans="2:17" ht="18.75" customHeight="1" x14ac:dyDescent="0.2">
      <c r="D80" s="159"/>
      <c r="F80" s="141" t="s">
        <v>199</v>
      </c>
      <c r="G80" s="713" t="s">
        <v>482</v>
      </c>
      <c r="H80" s="713"/>
      <c r="I80" s="713"/>
      <c r="J80" s="713"/>
      <c r="K80" s="734"/>
      <c r="L80" s="735"/>
      <c r="M80" s="736"/>
      <c r="N80" s="197"/>
      <c r="O80" s="197"/>
      <c r="P80" s="197"/>
    </row>
    <row r="81" spans="4:16" ht="11.25" customHeight="1" x14ac:dyDescent="0.2">
      <c r="D81" s="159"/>
      <c r="F81" s="141" t="s">
        <v>499</v>
      </c>
      <c r="G81" s="144" t="str">
        <f>G58</f>
        <v>подпункт "а" пункта 12 приказа Минстроя России от 04.04.2014 № 162/пр</v>
      </c>
      <c r="H81" s="140" t="s">
        <v>24</v>
      </c>
      <c r="I81" s="181">
        <f>'Расчет КиН (полный цикл)'!G30</f>
        <v>1</v>
      </c>
      <c r="J81" s="187">
        <f>'Расчет КиН (полный цикл)'!I30</f>
        <v>1.76</v>
      </c>
      <c r="K81" s="734"/>
      <c r="L81" s="735"/>
      <c r="M81" s="736"/>
      <c r="N81" s="197"/>
      <c r="O81" s="197"/>
      <c r="P81" s="197"/>
    </row>
    <row r="82" spans="4:16" ht="11.25" customHeight="1" x14ac:dyDescent="0.2">
      <c r="D82" s="159"/>
      <c r="F82" s="141" t="s">
        <v>500</v>
      </c>
      <c r="G82" s="144" t="str">
        <f>G62</f>
        <v>подпункт "в" пункта 12 приказа Минстроя России от 04.04.2014 № 162/пр</v>
      </c>
      <c r="H82" s="140" t="s">
        <v>24</v>
      </c>
      <c r="I82" s="181">
        <f>'Расчет КиН (полный цикл)'!G32</f>
        <v>0</v>
      </c>
      <c r="J82" s="195">
        <f>'Расчет КиН (полный цикл)'!I32</f>
        <v>0</v>
      </c>
      <c r="K82" s="734"/>
      <c r="L82" s="735"/>
      <c r="M82" s="736"/>
      <c r="N82" s="197"/>
      <c r="O82" s="197"/>
      <c r="P82" s="197"/>
    </row>
    <row r="83" spans="4:16" ht="11.25" customHeight="1" x14ac:dyDescent="0.2">
      <c r="D83" s="159"/>
      <c r="F83" s="141" t="s">
        <v>501</v>
      </c>
      <c r="G83" s="144" t="str">
        <f>G65</f>
        <v>пункт 11 приказа Минстроя России от 04.04.2014 № 162/пр</v>
      </c>
      <c r="H83" s="140" t="s">
        <v>24</v>
      </c>
      <c r="I83" s="181">
        <f>'Расчет КиН (полный цикл)'!G34</f>
        <v>0</v>
      </c>
      <c r="J83" s="195">
        <f>'Расчет КиН (полный цикл)'!I34</f>
        <v>0</v>
      </c>
      <c r="K83" s="737"/>
      <c r="L83" s="738"/>
      <c r="M83" s="739"/>
      <c r="N83" s="197"/>
      <c r="O83" s="197"/>
      <c r="P83" s="197"/>
    </row>
    <row r="84" spans="4:16" ht="15" customHeight="1" x14ac:dyDescent="0.2">
      <c r="D84" s="159"/>
      <c r="F84" s="693" t="s">
        <v>465</v>
      </c>
      <c r="G84" s="693"/>
      <c r="H84" s="693"/>
      <c r="I84" s="693"/>
      <c r="J84" s="693"/>
      <c r="K84" s="693"/>
      <c r="L84" s="693"/>
      <c r="M84" s="693"/>
    </row>
    <row r="85" spans="4:16" ht="22.5" customHeight="1" x14ac:dyDescent="0.2">
      <c r="D85" s="159"/>
      <c r="F85" s="714" t="s">
        <v>426</v>
      </c>
      <c r="G85" s="717" t="s">
        <v>442</v>
      </c>
      <c r="H85" s="694" t="s">
        <v>428</v>
      </c>
      <c r="I85" s="694" t="s">
        <v>448</v>
      </c>
      <c r="J85" s="694"/>
      <c r="K85" s="694"/>
      <c r="L85" s="694"/>
      <c r="M85" s="694"/>
    </row>
    <row r="86" spans="4:16" ht="11.25" customHeight="1" x14ac:dyDescent="0.2">
      <c r="D86" s="159"/>
      <c r="F86" s="714"/>
      <c r="G86" s="717"/>
      <c r="H86" s="694"/>
      <c r="I86" s="270" t="s">
        <v>485</v>
      </c>
      <c r="J86" s="270" t="s">
        <v>486</v>
      </c>
      <c r="K86" s="270" t="s">
        <v>487</v>
      </c>
      <c r="L86" s="271" t="s">
        <v>488</v>
      </c>
      <c r="M86" s="271" t="s">
        <v>516</v>
      </c>
    </row>
    <row r="87" spans="4:16" ht="11.25" customHeight="1" x14ac:dyDescent="0.2">
      <c r="D87" s="168">
        <v>1</v>
      </c>
      <c r="E87" s="169"/>
      <c r="F87" s="721">
        <v>1</v>
      </c>
      <c r="G87" s="718" t="s">
        <v>468</v>
      </c>
      <c r="H87" s="714" t="s">
        <v>106</v>
      </c>
      <c r="I87" s="715" t="s">
        <v>231</v>
      </c>
      <c r="J87" s="715" t="s">
        <v>231</v>
      </c>
      <c r="K87" s="715" t="s">
        <v>231</v>
      </c>
      <c r="L87" s="715" t="s">
        <v>231</v>
      </c>
      <c r="M87" s="715" t="s">
        <v>231</v>
      </c>
    </row>
    <row r="88" spans="4:16" ht="14.25" customHeight="1" x14ac:dyDescent="0.2">
      <c r="D88" s="168"/>
      <c r="E88" s="169"/>
      <c r="F88" s="721"/>
      <c r="G88" s="718"/>
      <c r="H88" s="714"/>
      <c r="I88" s="716"/>
      <c r="J88" s="716"/>
      <c r="K88" s="716"/>
      <c r="L88" s="716"/>
      <c r="M88" s="716"/>
    </row>
    <row r="89" spans="4:16" ht="7.5" customHeight="1" x14ac:dyDescent="0.2"/>
    <row r="90" spans="4:16" ht="4.5" customHeight="1" x14ac:dyDescent="0.2"/>
    <row r="91" spans="4:16" ht="4.5" customHeight="1" x14ac:dyDescent="0.2"/>
    <row r="92" spans="4:16" ht="4.5" customHeight="1" x14ac:dyDescent="0.2"/>
    <row r="93" spans="4:16" ht="4.5" customHeight="1" x14ac:dyDescent="0.2"/>
    <row r="94" spans="4:16" ht="23.25" customHeight="1" x14ac:dyDescent="0.2">
      <c r="F94" s="193"/>
      <c r="G94" s="726" t="s">
        <v>507</v>
      </c>
      <c r="H94" s="726"/>
      <c r="I94" s="726"/>
      <c r="J94" s="726"/>
      <c r="K94" s="726"/>
      <c r="L94" s="726"/>
      <c r="M94" s="726"/>
    </row>
  </sheetData>
  <mergeCells count="68">
    <mergeCell ref="L87:L88"/>
    <mergeCell ref="M87:M88"/>
    <mergeCell ref="F29:M29"/>
    <mergeCell ref="F53:M53"/>
    <mergeCell ref="G94:M94"/>
    <mergeCell ref="F87:F88"/>
    <mergeCell ref="G87:G88"/>
    <mergeCell ref="H87:H88"/>
    <mergeCell ref="I87:I88"/>
    <mergeCell ref="J87:J88"/>
    <mergeCell ref="K87:K88"/>
    <mergeCell ref="K72:M83"/>
    <mergeCell ref="G57:M57"/>
    <mergeCell ref="G64:M64"/>
    <mergeCell ref="G67:M67"/>
    <mergeCell ref="F70:M70"/>
    <mergeCell ref="N73:P79"/>
    <mergeCell ref="G80:J80"/>
    <mergeCell ref="F84:M84"/>
    <mergeCell ref="F85:F86"/>
    <mergeCell ref="G85:G86"/>
    <mergeCell ref="H85:H86"/>
    <mergeCell ref="I85:M85"/>
    <mergeCell ref="K71:M71"/>
    <mergeCell ref="N71:P71"/>
    <mergeCell ref="G46:M46"/>
    <mergeCell ref="G49:M49"/>
    <mergeCell ref="G51:M51"/>
    <mergeCell ref="F54:M54"/>
    <mergeCell ref="F55:F56"/>
    <mergeCell ref="G55:G56"/>
    <mergeCell ref="H55:H56"/>
    <mergeCell ref="I55:M55"/>
    <mergeCell ref="F38:M38"/>
    <mergeCell ref="H39:M39"/>
    <mergeCell ref="H40:M42"/>
    <mergeCell ref="F43:M43"/>
    <mergeCell ref="F44:F45"/>
    <mergeCell ref="G44:G45"/>
    <mergeCell ref="H44:H45"/>
    <mergeCell ref="I44:M44"/>
    <mergeCell ref="F31:F32"/>
    <mergeCell ref="G31:G32"/>
    <mergeCell ref="H31:H32"/>
    <mergeCell ref="I31:M31"/>
    <mergeCell ref="F15:M15"/>
    <mergeCell ref="F16:F17"/>
    <mergeCell ref="G16:G17"/>
    <mergeCell ref="H16:H17"/>
    <mergeCell ref="I16:M16"/>
    <mergeCell ref="F21:M21"/>
    <mergeCell ref="F22:F23"/>
    <mergeCell ref="G22:G23"/>
    <mergeCell ref="H22:H23"/>
    <mergeCell ref="I22:M22"/>
    <mergeCell ref="F30:M30"/>
    <mergeCell ref="F12:G12"/>
    <mergeCell ref="H12:M12"/>
    <mergeCell ref="F13:G13"/>
    <mergeCell ref="H13:M13"/>
    <mergeCell ref="F14:G14"/>
    <mergeCell ref="H14:M14"/>
    <mergeCell ref="F8:M8"/>
    <mergeCell ref="F9:M9"/>
    <mergeCell ref="F10:G10"/>
    <mergeCell ref="H10:M10"/>
    <mergeCell ref="F11:G11"/>
    <mergeCell ref="H11:M11"/>
  </mergeCells>
  <dataValidations count="1">
    <dataValidation type="list" allowBlank="1" showInputMessage="1" showErrorMessage="1" sqref="N8" xr:uid="{B8C0A432-4969-43C9-AAB0-DC69EFC939E3}">
      <formula1>version_PP</formula1>
    </dataValidation>
  </dataValidations>
  <pageMargins left="0.98425196850393704" right="0.78740157480314965" top="1.1811023622047245" bottom="0.39370078740157483" header="0.31496062992125984" footer="0.31496062992125984"/>
  <pageSetup paperSize="9" scale="86" fitToHeight="0" orientation="landscape" r:id="rId1"/>
  <rowBreaks count="2" manualBreakCount="2">
    <brk id="28" min="4" max="12" man="1"/>
    <brk id="52" min="4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FA3D9-463B-43D4-968C-0B19BC54B67C}">
  <sheetPr codeName="Лист4"/>
  <dimension ref="A2:G6"/>
  <sheetViews>
    <sheetView workbookViewId="0">
      <selection activeCell="F12" sqref="F12"/>
    </sheetView>
  </sheetViews>
  <sheetFormatPr defaultRowHeight="12.75" x14ac:dyDescent="0.2"/>
  <cols>
    <col min="1" max="1" width="28.5703125" customWidth="1"/>
    <col min="2" max="2" width="37.28515625" customWidth="1"/>
    <col min="3" max="3" width="15" customWidth="1"/>
    <col min="4" max="4" width="35.85546875" customWidth="1"/>
  </cols>
  <sheetData>
    <row r="2" spans="1:7" ht="13.5" thickBot="1" x14ac:dyDescent="0.25"/>
    <row r="3" spans="1:7" ht="13.5" thickBot="1" x14ac:dyDescent="0.25">
      <c r="A3" s="742" t="s">
        <v>315</v>
      </c>
      <c r="B3" s="743"/>
      <c r="C3" s="743"/>
      <c r="D3" s="744"/>
    </row>
    <row r="4" spans="1:7" ht="90" customHeight="1" thickBot="1" x14ac:dyDescent="0.25">
      <c r="A4" s="745" t="s">
        <v>322</v>
      </c>
      <c r="B4" s="131" t="s">
        <v>323</v>
      </c>
      <c r="C4" s="131" t="s">
        <v>24</v>
      </c>
      <c r="D4" s="131" t="s">
        <v>451</v>
      </c>
      <c r="E4">
        <v>0</v>
      </c>
      <c r="F4">
        <v>0</v>
      </c>
      <c r="G4">
        <v>0</v>
      </c>
    </row>
    <row r="5" spans="1:7" ht="83.25" customHeight="1" thickBot="1" x14ac:dyDescent="0.25">
      <c r="A5" s="746"/>
      <c r="B5" s="131" t="s">
        <v>416</v>
      </c>
      <c r="C5" s="131" t="s">
        <v>24</v>
      </c>
      <c r="D5" s="131" t="s">
        <v>452</v>
      </c>
      <c r="E5">
        <v>0</v>
      </c>
      <c r="F5">
        <v>0</v>
      </c>
      <c r="G5">
        <v>0</v>
      </c>
    </row>
    <row r="6" spans="1:7" ht="63.75" customHeight="1" thickBot="1" x14ac:dyDescent="0.25">
      <c r="A6" s="132" t="s">
        <v>317</v>
      </c>
      <c r="B6" s="131" t="s">
        <v>453</v>
      </c>
      <c r="C6" s="131" t="s">
        <v>443</v>
      </c>
      <c r="D6" s="131" t="s">
        <v>454</v>
      </c>
      <c r="E6">
        <v>0</v>
      </c>
      <c r="F6">
        <v>0</v>
      </c>
      <c r="G6">
        <v>0</v>
      </c>
    </row>
  </sheetData>
  <mergeCells count="2">
    <mergeCell ref="A3:D3"/>
    <mergeCell ref="A4:A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A68D5-FB9A-4D6F-8566-CD6C4A6B7F7F}">
  <sheetPr codeName="Лист5">
    <pageSetUpPr fitToPage="1"/>
  </sheetPr>
  <dimension ref="A1:O97"/>
  <sheetViews>
    <sheetView topLeftCell="B32" zoomScale="80" zoomScaleNormal="80" workbookViewId="0">
      <selection activeCell="G47" sqref="G47"/>
    </sheetView>
  </sheetViews>
  <sheetFormatPr defaultRowHeight="15.75" x14ac:dyDescent="0.25"/>
  <cols>
    <col min="1" max="1" width="9.140625" style="21"/>
    <col min="2" max="2" width="30.140625" style="21" customWidth="1"/>
    <col min="3" max="3" width="59.42578125" style="21" customWidth="1"/>
    <col min="4" max="4" width="55.28515625" style="21" customWidth="1"/>
    <col min="5" max="5" width="7.85546875" style="21" customWidth="1"/>
    <col min="6" max="6" width="8.140625" style="21" customWidth="1"/>
    <col min="7" max="7" width="12.5703125" style="21" customWidth="1"/>
    <col min="8" max="8" width="9.140625" style="21"/>
    <col min="9" max="9" width="10.7109375" style="21" bestFit="1" customWidth="1"/>
    <col min="10" max="10" width="13.28515625" style="21" customWidth="1"/>
    <col min="11" max="11" width="14.5703125" style="21" customWidth="1"/>
    <col min="12" max="257" width="9.140625" style="21"/>
    <col min="258" max="258" width="30.140625" style="21" customWidth="1"/>
    <col min="259" max="259" width="59.42578125" style="21" customWidth="1"/>
    <col min="260" max="260" width="55.28515625" style="21" customWidth="1"/>
    <col min="261" max="261" width="7.85546875" style="21" customWidth="1"/>
    <col min="262" max="262" width="8.140625" style="21" customWidth="1"/>
    <col min="263" max="263" width="12.5703125" style="21" customWidth="1"/>
    <col min="264" max="264" width="9.140625" style="21"/>
    <col min="265" max="265" width="10.7109375" style="21" bestFit="1" customWidth="1"/>
    <col min="266" max="266" width="13.28515625" style="21" customWidth="1"/>
    <col min="267" max="267" width="14.5703125" style="21" customWidth="1"/>
    <col min="268" max="513" width="9.140625" style="21"/>
    <col min="514" max="514" width="30.140625" style="21" customWidth="1"/>
    <col min="515" max="515" width="59.42578125" style="21" customWidth="1"/>
    <col min="516" max="516" width="55.28515625" style="21" customWidth="1"/>
    <col min="517" max="517" width="7.85546875" style="21" customWidth="1"/>
    <col min="518" max="518" width="8.140625" style="21" customWidth="1"/>
    <col min="519" max="519" width="12.5703125" style="21" customWidth="1"/>
    <col min="520" max="520" width="9.140625" style="21"/>
    <col min="521" max="521" width="10.7109375" style="21" bestFit="1" customWidth="1"/>
    <col min="522" max="522" width="13.28515625" style="21" customWidth="1"/>
    <col min="523" max="523" width="14.5703125" style="21" customWidth="1"/>
    <col min="524" max="769" width="9.140625" style="21"/>
    <col min="770" max="770" width="30.140625" style="21" customWidth="1"/>
    <col min="771" max="771" width="59.42578125" style="21" customWidth="1"/>
    <col min="772" max="772" width="55.28515625" style="21" customWidth="1"/>
    <col min="773" max="773" width="7.85546875" style="21" customWidth="1"/>
    <col min="774" max="774" width="8.140625" style="21" customWidth="1"/>
    <col min="775" max="775" width="12.5703125" style="21" customWidth="1"/>
    <col min="776" max="776" width="9.140625" style="21"/>
    <col min="777" max="777" width="10.7109375" style="21" bestFit="1" customWidth="1"/>
    <col min="778" max="778" width="13.28515625" style="21" customWidth="1"/>
    <col min="779" max="779" width="14.5703125" style="21" customWidth="1"/>
    <col min="780" max="1025" width="9.140625" style="21"/>
    <col min="1026" max="1026" width="30.140625" style="21" customWidth="1"/>
    <col min="1027" max="1027" width="59.42578125" style="21" customWidth="1"/>
    <col min="1028" max="1028" width="55.28515625" style="21" customWidth="1"/>
    <col min="1029" max="1029" width="7.85546875" style="21" customWidth="1"/>
    <col min="1030" max="1030" width="8.140625" style="21" customWidth="1"/>
    <col min="1031" max="1031" width="12.5703125" style="21" customWidth="1"/>
    <col min="1032" max="1032" width="9.140625" style="21"/>
    <col min="1033" max="1033" width="10.7109375" style="21" bestFit="1" customWidth="1"/>
    <col min="1034" max="1034" width="13.28515625" style="21" customWidth="1"/>
    <col min="1035" max="1035" width="14.5703125" style="21" customWidth="1"/>
    <col min="1036" max="1281" width="9.140625" style="21"/>
    <col min="1282" max="1282" width="30.140625" style="21" customWidth="1"/>
    <col min="1283" max="1283" width="59.42578125" style="21" customWidth="1"/>
    <col min="1284" max="1284" width="55.28515625" style="21" customWidth="1"/>
    <col min="1285" max="1285" width="7.85546875" style="21" customWidth="1"/>
    <col min="1286" max="1286" width="8.140625" style="21" customWidth="1"/>
    <col min="1287" max="1287" width="12.5703125" style="21" customWidth="1"/>
    <col min="1288" max="1288" width="9.140625" style="21"/>
    <col min="1289" max="1289" width="10.7109375" style="21" bestFit="1" customWidth="1"/>
    <col min="1290" max="1290" width="13.28515625" style="21" customWidth="1"/>
    <col min="1291" max="1291" width="14.5703125" style="21" customWidth="1"/>
    <col min="1292" max="1537" width="9.140625" style="21"/>
    <col min="1538" max="1538" width="30.140625" style="21" customWidth="1"/>
    <col min="1539" max="1539" width="59.42578125" style="21" customWidth="1"/>
    <col min="1540" max="1540" width="55.28515625" style="21" customWidth="1"/>
    <col min="1541" max="1541" width="7.85546875" style="21" customWidth="1"/>
    <col min="1542" max="1542" width="8.140625" style="21" customWidth="1"/>
    <col min="1543" max="1543" width="12.5703125" style="21" customWidth="1"/>
    <col min="1544" max="1544" width="9.140625" style="21"/>
    <col min="1545" max="1545" width="10.7109375" style="21" bestFit="1" customWidth="1"/>
    <col min="1546" max="1546" width="13.28515625" style="21" customWidth="1"/>
    <col min="1547" max="1547" width="14.5703125" style="21" customWidth="1"/>
    <col min="1548" max="1793" width="9.140625" style="21"/>
    <col min="1794" max="1794" width="30.140625" style="21" customWidth="1"/>
    <col min="1795" max="1795" width="59.42578125" style="21" customWidth="1"/>
    <col min="1796" max="1796" width="55.28515625" style="21" customWidth="1"/>
    <col min="1797" max="1797" width="7.85546875" style="21" customWidth="1"/>
    <col min="1798" max="1798" width="8.140625" style="21" customWidth="1"/>
    <col min="1799" max="1799" width="12.5703125" style="21" customWidth="1"/>
    <col min="1800" max="1800" width="9.140625" style="21"/>
    <col min="1801" max="1801" width="10.7109375" style="21" bestFit="1" customWidth="1"/>
    <col min="1802" max="1802" width="13.28515625" style="21" customWidth="1"/>
    <col min="1803" max="1803" width="14.5703125" style="21" customWidth="1"/>
    <col min="1804" max="2049" width="9.140625" style="21"/>
    <col min="2050" max="2050" width="30.140625" style="21" customWidth="1"/>
    <col min="2051" max="2051" width="59.42578125" style="21" customWidth="1"/>
    <col min="2052" max="2052" width="55.28515625" style="21" customWidth="1"/>
    <col min="2053" max="2053" width="7.85546875" style="21" customWidth="1"/>
    <col min="2054" max="2054" width="8.140625" style="21" customWidth="1"/>
    <col min="2055" max="2055" width="12.5703125" style="21" customWidth="1"/>
    <col min="2056" max="2056" width="9.140625" style="21"/>
    <col min="2057" max="2057" width="10.7109375" style="21" bestFit="1" customWidth="1"/>
    <col min="2058" max="2058" width="13.28515625" style="21" customWidth="1"/>
    <col min="2059" max="2059" width="14.5703125" style="21" customWidth="1"/>
    <col min="2060" max="2305" width="9.140625" style="21"/>
    <col min="2306" max="2306" width="30.140625" style="21" customWidth="1"/>
    <col min="2307" max="2307" width="59.42578125" style="21" customWidth="1"/>
    <col min="2308" max="2308" width="55.28515625" style="21" customWidth="1"/>
    <col min="2309" max="2309" width="7.85546875" style="21" customWidth="1"/>
    <col min="2310" max="2310" width="8.140625" style="21" customWidth="1"/>
    <col min="2311" max="2311" width="12.5703125" style="21" customWidth="1"/>
    <col min="2312" max="2312" width="9.140625" style="21"/>
    <col min="2313" max="2313" width="10.7109375" style="21" bestFit="1" customWidth="1"/>
    <col min="2314" max="2314" width="13.28515625" style="21" customWidth="1"/>
    <col min="2315" max="2315" width="14.5703125" style="21" customWidth="1"/>
    <col min="2316" max="2561" width="9.140625" style="21"/>
    <col min="2562" max="2562" width="30.140625" style="21" customWidth="1"/>
    <col min="2563" max="2563" width="59.42578125" style="21" customWidth="1"/>
    <col min="2564" max="2564" width="55.28515625" style="21" customWidth="1"/>
    <col min="2565" max="2565" width="7.85546875" style="21" customWidth="1"/>
    <col min="2566" max="2566" width="8.140625" style="21" customWidth="1"/>
    <col min="2567" max="2567" width="12.5703125" style="21" customWidth="1"/>
    <col min="2568" max="2568" width="9.140625" style="21"/>
    <col min="2569" max="2569" width="10.7109375" style="21" bestFit="1" customWidth="1"/>
    <col min="2570" max="2570" width="13.28515625" style="21" customWidth="1"/>
    <col min="2571" max="2571" width="14.5703125" style="21" customWidth="1"/>
    <col min="2572" max="2817" width="9.140625" style="21"/>
    <col min="2818" max="2818" width="30.140625" style="21" customWidth="1"/>
    <col min="2819" max="2819" width="59.42578125" style="21" customWidth="1"/>
    <col min="2820" max="2820" width="55.28515625" style="21" customWidth="1"/>
    <col min="2821" max="2821" width="7.85546875" style="21" customWidth="1"/>
    <col min="2822" max="2822" width="8.140625" style="21" customWidth="1"/>
    <col min="2823" max="2823" width="12.5703125" style="21" customWidth="1"/>
    <col min="2824" max="2824" width="9.140625" style="21"/>
    <col min="2825" max="2825" width="10.7109375" style="21" bestFit="1" customWidth="1"/>
    <col min="2826" max="2826" width="13.28515625" style="21" customWidth="1"/>
    <col min="2827" max="2827" width="14.5703125" style="21" customWidth="1"/>
    <col min="2828" max="3073" width="9.140625" style="21"/>
    <col min="3074" max="3074" width="30.140625" style="21" customWidth="1"/>
    <col min="3075" max="3075" width="59.42578125" style="21" customWidth="1"/>
    <col min="3076" max="3076" width="55.28515625" style="21" customWidth="1"/>
    <col min="3077" max="3077" width="7.85546875" style="21" customWidth="1"/>
    <col min="3078" max="3078" width="8.140625" style="21" customWidth="1"/>
    <col min="3079" max="3079" width="12.5703125" style="21" customWidth="1"/>
    <col min="3080" max="3080" width="9.140625" style="21"/>
    <col min="3081" max="3081" width="10.7109375" style="21" bestFit="1" customWidth="1"/>
    <col min="3082" max="3082" width="13.28515625" style="21" customWidth="1"/>
    <col min="3083" max="3083" width="14.5703125" style="21" customWidth="1"/>
    <col min="3084" max="3329" width="9.140625" style="21"/>
    <col min="3330" max="3330" width="30.140625" style="21" customWidth="1"/>
    <col min="3331" max="3331" width="59.42578125" style="21" customWidth="1"/>
    <col min="3332" max="3332" width="55.28515625" style="21" customWidth="1"/>
    <col min="3333" max="3333" width="7.85546875" style="21" customWidth="1"/>
    <col min="3334" max="3334" width="8.140625" style="21" customWidth="1"/>
    <col min="3335" max="3335" width="12.5703125" style="21" customWidth="1"/>
    <col min="3336" max="3336" width="9.140625" style="21"/>
    <col min="3337" max="3337" width="10.7109375" style="21" bestFit="1" customWidth="1"/>
    <col min="3338" max="3338" width="13.28515625" style="21" customWidth="1"/>
    <col min="3339" max="3339" width="14.5703125" style="21" customWidth="1"/>
    <col min="3340" max="3585" width="9.140625" style="21"/>
    <col min="3586" max="3586" width="30.140625" style="21" customWidth="1"/>
    <col min="3587" max="3587" width="59.42578125" style="21" customWidth="1"/>
    <col min="3588" max="3588" width="55.28515625" style="21" customWidth="1"/>
    <col min="3589" max="3589" width="7.85546875" style="21" customWidth="1"/>
    <col min="3590" max="3590" width="8.140625" style="21" customWidth="1"/>
    <col min="3591" max="3591" width="12.5703125" style="21" customWidth="1"/>
    <col min="3592" max="3592" width="9.140625" style="21"/>
    <col min="3593" max="3593" width="10.7109375" style="21" bestFit="1" customWidth="1"/>
    <col min="3594" max="3594" width="13.28515625" style="21" customWidth="1"/>
    <col min="3595" max="3595" width="14.5703125" style="21" customWidth="1"/>
    <col min="3596" max="3841" width="9.140625" style="21"/>
    <col min="3842" max="3842" width="30.140625" style="21" customWidth="1"/>
    <col min="3843" max="3843" width="59.42578125" style="21" customWidth="1"/>
    <col min="3844" max="3844" width="55.28515625" style="21" customWidth="1"/>
    <col min="3845" max="3845" width="7.85546875" style="21" customWidth="1"/>
    <col min="3846" max="3846" width="8.140625" style="21" customWidth="1"/>
    <col min="3847" max="3847" width="12.5703125" style="21" customWidth="1"/>
    <col min="3848" max="3848" width="9.140625" style="21"/>
    <col min="3849" max="3849" width="10.7109375" style="21" bestFit="1" customWidth="1"/>
    <col min="3850" max="3850" width="13.28515625" style="21" customWidth="1"/>
    <col min="3851" max="3851" width="14.5703125" style="21" customWidth="1"/>
    <col min="3852" max="4097" width="9.140625" style="21"/>
    <col min="4098" max="4098" width="30.140625" style="21" customWidth="1"/>
    <col min="4099" max="4099" width="59.42578125" style="21" customWidth="1"/>
    <col min="4100" max="4100" width="55.28515625" style="21" customWidth="1"/>
    <col min="4101" max="4101" width="7.85546875" style="21" customWidth="1"/>
    <col min="4102" max="4102" width="8.140625" style="21" customWidth="1"/>
    <col min="4103" max="4103" width="12.5703125" style="21" customWidth="1"/>
    <col min="4104" max="4104" width="9.140625" style="21"/>
    <col min="4105" max="4105" width="10.7109375" style="21" bestFit="1" customWidth="1"/>
    <col min="4106" max="4106" width="13.28515625" style="21" customWidth="1"/>
    <col min="4107" max="4107" width="14.5703125" style="21" customWidth="1"/>
    <col min="4108" max="4353" width="9.140625" style="21"/>
    <col min="4354" max="4354" width="30.140625" style="21" customWidth="1"/>
    <col min="4355" max="4355" width="59.42578125" style="21" customWidth="1"/>
    <col min="4356" max="4356" width="55.28515625" style="21" customWidth="1"/>
    <col min="4357" max="4357" width="7.85546875" style="21" customWidth="1"/>
    <col min="4358" max="4358" width="8.140625" style="21" customWidth="1"/>
    <col min="4359" max="4359" width="12.5703125" style="21" customWidth="1"/>
    <col min="4360" max="4360" width="9.140625" style="21"/>
    <col min="4361" max="4361" width="10.7109375" style="21" bestFit="1" customWidth="1"/>
    <col min="4362" max="4362" width="13.28515625" style="21" customWidth="1"/>
    <col min="4363" max="4363" width="14.5703125" style="21" customWidth="1"/>
    <col min="4364" max="4609" width="9.140625" style="21"/>
    <col min="4610" max="4610" width="30.140625" style="21" customWidth="1"/>
    <col min="4611" max="4611" width="59.42578125" style="21" customWidth="1"/>
    <col min="4612" max="4612" width="55.28515625" style="21" customWidth="1"/>
    <col min="4613" max="4613" width="7.85546875" style="21" customWidth="1"/>
    <col min="4614" max="4614" width="8.140625" style="21" customWidth="1"/>
    <col min="4615" max="4615" width="12.5703125" style="21" customWidth="1"/>
    <col min="4616" max="4616" width="9.140625" style="21"/>
    <col min="4617" max="4617" width="10.7109375" style="21" bestFit="1" customWidth="1"/>
    <col min="4618" max="4618" width="13.28515625" style="21" customWidth="1"/>
    <col min="4619" max="4619" width="14.5703125" style="21" customWidth="1"/>
    <col min="4620" max="4865" width="9.140625" style="21"/>
    <col min="4866" max="4866" width="30.140625" style="21" customWidth="1"/>
    <col min="4867" max="4867" width="59.42578125" style="21" customWidth="1"/>
    <col min="4868" max="4868" width="55.28515625" style="21" customWidth="1"/>
    <col min="4869" max="4869" width="7.85546875" style="21" customWidth="1"/>
    <col min="4870" max="4870" width="8.140625" style="21" customWidth="1"/>
    <col min="4871" max="4871" width="12.5703125" style="21" customWidth="1"/>
    <col min="4872" max="4872" width="9.140625" style="21"/>
    <col min="4873" max="4873" width="10.7109375" style="21" bestFit="1" customWidth="1"/>
    <col min="4874" max="4874" width="13.28515625" style="21" customWidth="1"/>
    <col min="4875" max="4875" width="14.5703125" style="21" customWidth="1"/>
    <col min="4876" max="5121" width="9.140625" style="21"/>
    <col min="5122" max="5122" width="30.140625" style="21" customWidth="1"/>
    <col min="5123" max="5123" width="59.42578125" style="21" customWidth="1"/>
    <col min="5124" max="5124" width="55.28515625" style="21" customWidth="1"/>
    <col min="5125" max="5125" width="7.85546875" style="21" customWidth="1"/>
    <col min="5126" max="5126" width="8.140625" style="21" customWidth="1"/>
    <col min="5127" max="5127" width="12.5703125" style="21" customWidth="1"/>
    <col min="5128" max="5128" width="9.140625" style="21"/>
    <col min="5129" max="5129" width="10.7109375" style="21" bestFit="1" customWidth="1"/>
    <col min="5130" max="5130" width="13.28515625" style="21" customWidth="1"/>
    <col min="5131" max="5131" width="14.5703125" style="21" customWidth="1"/>
    <col min="5132" max="5377" width="9.140625" style="21"/>
    <col min="5378" max="5378" width="30.140625" style="21" customWidth="1"/>
    <col min="5379" max="5379" width="59.42578125" style="21" customWidth="1"/>
    <col min="5380" max="5380" width="55.28515625" style="21" customWidth="1"/>
    <col min="5381" max="5381" width="7.85546875" style="21" customWidth="1"/>
    <col min="5382" max="5382" width="8.140625" style="21" customWidth="1"/>
    <col min="5383" max="5383" width="12.5703125" style="21" customWidth="1"/>
    <col min="5384" max="5384" width="9.140625" style="21"/>
    <col min="5385" max="5385" width="10.7109375" style="21" bestFit="1" customWidth="1"/>
    <col min="5386" max="5386" width="13.28515625" style="21" customWidth="1"/>
    <col min="5387" max="5387" width="14.5703125" style="21" customWidth="1"/>
    <col min="5388" max="5633" width="9.140625" style="21"/>
    <col min="5634" max="5634" width="30.140625" style="21" customWidth="1"/>
    <col min="5635" max="5635" width="59.42578125" style="21" customWidth="1"/>
    <col min="5636" max="5636" width="55.28515625" style="21" customWidth="1"/>
    <col min="5637" max="5637" width="7.85546875" style="21" customWidth="1"/>
    <col min="5638" max="5638" width="8.140625" style="21" customWidth="1"/>
    <col min="5639" max="5639" width="12.5703125" style="21" customWidth="1"/>
    <col min="5640" max="5640" width="9.140625" style="21"/>
    <col min="5641" max="5641" width="10.7109375" style="21" bestFit="1" customWidth="1"/>
    <col min="5642" max="5642" width="13.28515625" style="21" customWidth="1"/>
    <col min="5643" max="5643" width="14.5703125" style="21" customWidth="1"/>
    <col min="5644" max="5889" width="9.140625" style="21"/>
    <col min="5890" max="5890" width="30.140625" style="21" customWidth="1"/>
    <col min="5891" max="5891" width="59.42578125" style="21" customWidth="1"/>
    <col min="5892" max="5892" width="55.28515625" style="21" customWidth="1"/>
    <col min="5893" max="5893" width="7.85546875" style="21" customWidth="1"/>
    <col min="5894" max="5894" width="8.140625" style="21" customWidth="1"/>
    <col min="5895" max="5895" width="12.5703125" style="21" customWidth="1"/>
    <col min="5896" max="5896" width="9.140625" style="21"/>
    <col min="5897" max="5897" width="10.7109375" style="21" bestFit="1" customWidth="1"/>
    <col min="5898" max="5898" width="13.28515625" style="21" customWidth="1"/>
    <col min="5899" max="5899" width="14.5703125" style="21" customWidth="1"/>
    <col min="5900" max="6145" width="9.140625" style="21"/>
    <col min="6146" max="6146" width="30.140625" style="21" customWidth="1"/>
    <col min="6147" max="6147" width="59.42578125" style="21" customWidth="1"/>
    <col min="6148" max="6148" width="55.28515625" style="21" customWidth="1"/>
    <col min="6149" max="6149" width="7.85546875" style="21" customWidth="1"/>
    <col min="6150" max="6150" width="8.140625" style="21" customWidth="1"/>
    <col min="6151" max="6151" width="12.5703125" style="21" customWidth="1"/>
    <col min="6152" max="6152" width="9.140625" style="21"/>
    <col min="6153" max="6153" width="10.7109375" style="21" bestFit="1" customWidth="1"/>
    <col min="6154" max="6154" width="13.28515625" style="21" customWidth="1"/>
    <col min="6155" max="6155" width="14.5703125" style="21" customWidth="1"/>
    <col min="6156" max="6401" width="9.140625" style="21"/>
    <col min="6402" max="6402" width="30.140625" style="21" customWidth="1"/>
    <col min="6403" max="6403" width="59.42578125" style="21" customWidth="1"/>
    <col min="6404" max="6404" width="55.28515625" style="21" customWidth="1"/>
    <col min="6405" max="6405" width="7.85546875" style="21" customWidth="1"/>
    <col min="6406" max="6406" width="8.140625" style="21" customWidth="1"/>
    <col min="6407" max="6407" width="12.5703125" style="21" customWidth="1"/>
    <col min="6408" max="6408" width="9.140625" style="21"/>
    <col min="6409" max="6409" width="10.7109375" style="21" bestFit="1" customWidth="1"/>
    <col min="6410" max="6410" width="13.28515625" style="21" customWidth="1"/>
    <col min="6411" max="6411" width="14.5703125" style="21" customWidth="1"/>
    <col min="6412" max="6657" width="9.140625" style="21"/>
    <col min="6658" max="6658" width="30.140625" style="21" customWidth="1"/>
    <col min="6659" max="6659" width="59.42578125" style="21" customWidth="1"/>
    <col min="6660" max="6660" width="55.28515625" style="21" customWidth="1"/>
    <col min="6661" max="6661" width="7.85546875" style="21" customWidth="1"/>
    <col min="6662" max="6662" width="8.140625" style="21" customWidth="1"/>
    <col min="6663" max="6663" width="12.5703125" style="21" customWidth="1"/>
    <col min="6664" max="6664" width="9.140625" style="21"/>
    <col min="6665" max="6665" width="10.7109375" style="21" bestFit="1" customWidth="1"/>
    <col min="6666" max="6666" width="13.28515625" style="21" customWidth="1"/>
    <col min="6667" max="6667" width="14.5703125" style="21" customWidth="1"/>
    <col min="6668" max="6913" width="9.140625" style="21"/>
    <col min="6914" max="6914" width="30.140625" style="21" customWidth="1"/>
    <col min="6915" max="6915" width="59.42578125" style="21" customWidth="1"/>
    <col min="6916" max="6916" width="55.28515625" style="21" customWidth="1"/>
    <col min="6917" max="6917" width="7.85546875" style="21" customWidth="1"/>
    <col min="6918" max="6918" width="8.140625" style="21" customWidth="1"/>
    <col min="6919" max="6919" width="12.5703125" style="21" customWidth="1"/>
    <col min="6920" max="6920" width="9.140625" style="21"/>
    <col min="6921" max="6921" width="10.7109375" style="21" bestFit="1" customWidth="1"/>
    <col min="6922" max="6922" width="13.28515625" style="21" customWidth="1"/>
    <col min="6923" max="6923" width="14.5703125" style="21" customWidth="1"/>
    <col min="6924" max="7169" width="9.140625" style="21"/>
    <col min="7170" max="7170" width="30.140625" style="21" customWidth="1"/>
    <col min="7171" max="7171" width="59.42578125" style="21" customWidth="1"/>
    <col min="7172" max="7172" width="55.28515625" style="21" customWidth="1"/>
    <col min="7173" max="7173" width="7.85546875" style="21" customWidth="1"/>
    <col min="7174" max="7174" width="8.140625" style="21" customWidth="1"/>
    <col min="7175" max="7175" width="12.5703125" style="21" customWidth="1"/>
    <col min="7176" max="7176" width="9.140625" style="21"/>
    <col min="7177" max="7177" width="10.7109375" style="21" bestFit="1" customWidth="1"/>
    <col min="7178" max="7178" width="13.28515625" style="21" customWidth="1"/>
    <col min="7179" max="7179" width="14.5703125" style="21" customWidth="1"/>
    <col min="7180" max="7425" width="9.140625" style="21"/>
    <col min="7426" max="7426" width="30.140625" style="21" customWidth="1"/>
    <col min="7427" max="7427" width="59.42578125" style="21" customWidth="1"/>
    <col min="7428" max="7428" width="55.28515625" style="21" customWidth="1"/>
    <col min="7429" max="7429" width="7.85546875" style="21" customWidth="1"/>
    <col min="7430" max="7430" width="8.140625" style="21" customWidth="1"/>
    <col min="7431" max="7431" width="12.5703125" style="21" customWidth="1"/>
    <col min="7432" max="7432" width="9.140625" style="21"/>
    <col min="7433" max="7433" width="10.7109375" style="21" bestFit="1" customWidth="1"/>
    <col min="7434" max="7434" width="13.28515625" style="21" customWidth="1"/>
    <col min="7435" max="7435" width="14.5703125" style="21" customWidth="1"/>
    <col min="7436" max="7681" width="9.140625" style="21"/>
    <col min="7682" max="7682" width="30.140625" style="21" customWidth="1"/>
    <col min="7683" max="7683" width="59.42578125" style="21" customWidth="1"/>
    <col min="7684" max="7684" width="55.28515625" style="21" customWidth="1"/>
    <col min="7685" max="7685" width="7.85546875" style="21" customWidth="1"/>
    <col min="7686" max="7686" width="8.140625" style="21" customWidth="1"/>
    <col min="7687" max="7687" width="12.5703125" style="21" customWidth="1"/>
    <col min="7688" max="7688" width="9.140625" style="21"/>
    <col min="7689" max="7689" width="10.7109375" style="21" bestFit="1" customWidth="1"/>
    <col min="7690" max="7690" width="13.28515625" style="21" customWidth="1"/>
    <col min="7691" max="7691" width="14.5703125" style="21" customWidth="1"/>
    <col min="7692" max="7937" width="9.140625" style="21"/>
    <col min="7938" max="7938" width="30.140625" style="21" customWidth="1"/>
    <col min="7939" max="7939" width="59.42578125" style="21" customWidth="1"/>
    <col min="7940" max="7940" width="55.28515625" style="21" customWidth="1"/>
    <col min="7941" max="7941" width="7.85546875" style="21" customWidth="1"/>
    <col min="7942" max="7942" width="8.140625" style="21" customWidth="1"/>
    <col min="7943" max="7943" width="12.5703125" style="21" customWidth="1"/>
    <col min="7944" max="7944" width="9.140625" style="21"/>
    <col min="7945" max="7945" width="10.7109375" style="21" bestFit="1" customWidth="1"/>
    <col min="7946" max="7946" width="13.28515625" style="21" customWidth="1"/>
    <col min="7947" max="7947" width="14.5703125" style="21" customWidth="1"/>
    <col min="7948" max="8193" width="9.140625" style="21"/>
    <col min="8194" max="8194" width="30.140625" style="21" customWidth="1"/>
    <col min="8195" max="8195" width="59.42578125" style="21" customWidth="1"/>
    <col min="8196" max="8196" width="55.28515625" style="21" customWidth="1"/>
    <col min="8197" max="8197" width="7.85546875" style="21" customWidth="1"/>
    <col min="8198" max="8198" width="8.140625" style="21" customWidth="1"/>
    <col min="8199" max="8199" width="12.5703125" style="21" customWidth="1"/>
    <col min="8200" max="8200" width="9.140625" style="21"/>
    <col min="8201" max="8201" width="10.7109375" style="21" bestFit="1" customWidth="1"/>
    <col min="8202" max="8202" width="13.28515625" style="21" customWidth="1"/>
    <col min="8203" max="8203" width="14.5703125" style="21" customWidth="1"/>
    <col min="8204" max="8449" width="9.140625" style="21"/>
    <col min="8450" max="8450" width="30.140625" style="21" customWidth="1"/>
    <col min="8451" max="8451" width="59.42578125" style="21" customWidth="1"/>
    <col min="8452" max="8452" width="55.28515625" style="21" customWidth="1"/>
    <col min="8453" max="8453" width="7.85546875" style="21" customWidth="1"/>
    <col min="8454" max="8454" width="8.140625" style="21" customWidth="1"/>
    <col min="8455" max="8455" width="12.5703125" style="21" customWidth="1"/>
    <col min="8456" max="8456" width="9.140625" style="21"/>
    <col min="8457" max="8457" width="10.7109375" style="21" bestFit="1" customWidth="1"/>
    <col min="8458" max="8458" width="13.28515625" style="21" customWidth="1"/>
    <col min="8459" max="8459" width="14.5703125" style="21" customWidth="1"/>
    <col min="8460" max="8705" width="9.140625" style="21"/>
    <col min="8706" max="8706" width="30.140625" style="21" customWidth="1"/>
    <col min="8707" max="8707" width="59.42578125" style="21" customWidth="1"/>
    <col min="8708" max="8708" width="55.28515625" style="21" customWidth="1"/>
    <col min="8709" max="8709" width="7.85546875" style="21" customWidth="1"/>
    <col min="8710" max="8710" width="8.140625" style="21" customWidth="1"/>
    <col min="8711" max="8711" width="12.5703125" style="21" customWidth="1"/>
    <col min="8712" max="8712" width="9.140625" style="21"/>
    <col min="8713" max="8713" width="10.7109375" style="21" bestFit="1" customWidth="1"/>
    <col min="8714" max="8714" width="13.28515625" style="21" customWidth="1"/>
    <col min="8715" max="8715" width="14.5703125" style="21" customWidth="1"/>
    <col min="8716" max="8961" width="9.140625" style="21"/>
    <col min="8962" max="8962" width="30.140625" style="21" customWidth="1"/>
    <col min="8963" max="8963" width="59.42578125" style="21" customWidth="1"/>
    <col min="8964" max="8964" width="55.28515625" style="21" customWidth="1"/>
    <col min="8965" max="8965" width="7.85546875" style="21" customWidth="1"/>
    <col min="8966" max="8966" width="8.140625" style="21" customWidth="1"/>
    <col min="8967" max="8967" width="12.5703125" style="21" customWidth="1"/>
    <col min="8968" max="8968" width="9.140625" style="21"/>
    <col min="8969" max="8969" width="10.7109375" style="21" bestFit="1" customWidth="1"/>
    <col min="8970" max="8970" width="13.28515625" style="21" customWidth="1"/>
    <col min="8971" max="8971" width="14.5703125" style="21" customWidth="1"/>
    <col min="8972" max="9217" width="9.140625" style="21"/>
    <col min="9218" max="9218" width="30.140625" style="21" customWidth="1"/>
    <col min="9219" max="9219" width="59.42578125" style="21" customWidth="1"/>
    <col min="9220" max="9220" width="55.28515625" style="21" customWidth="1"/>
    <col min="9221" max="9221" width="7.85546875" style="21" customWidth="1"/>
    <col min="9222" max="9222" width="8.140625" style="21" customWidth="1"/>
    <col min="9223" max="9223" width="12.5703125" style="21" customWidth="1"/>
    <col min="9224" max="9224" width="9.140625" style="21"/>
    <col min="9225" max="9225" width="10.7109375" style="21" bestFit="1" customWidth="1"/>
    <col min="9226" max="9226" width="13.28515625" style="21" customWidth="1"/>
    <col min="9227" max="9227" width="14.5703125" style="21" customWidth="1"/>
    <col min="9228" max="9473" width="9.140625" style="21"/>
    <col min="9474" max="9474" width="30.140625" style="21" customWidth="1"/>
    <col min="9475" max="9475" width="59.42578125" style="21" customWidth="1"/>
    <col min="9476" max="9476" width="55.28515625" style="21" customWidth="1"/>
    <col min="9477" max="9477" width="7.85546875" style="21" customWidth="1"/>
    <col min="9478" max="9478" width="8.140625" style="21" customWidth="1"/>
    <col min="9479" max="9479" width="12.5703125" style="21" customWidth="1"/>
    <col min="9480" max="9480" width="9.140625" style="21"/>
    <col min="9481" max="9481" width="10.7109375" style="21" bestFit="1" customWidth="1"/>
    <col min="9482" max="9482" width="13.28515625" style="21" customWidth="1"/>
    <col min="9483" max="9483" width="14.5703125" style="21" customWidth="1"/>
    <col min="9484" max="9729" width="9.140625" style="21"/>
    <col min="9730" max="9730" width="30.140625" style="21" customWidth="1"/>
    <col min="9731" max="9731" width="59.42578125" style="21" customWidth="1"/>
    <col min="9732" max="9732" width="55.28515625" style="21" customWidth="1"/>
    <col min="9733" max="9733" width="7.85546875" style="21" customWidth="1"/>
    <col min="9734" max="9734" width="8.140625" style="21" customWidth="1"/>
    <col min="9735" max="9735" width="12.5703125" style="21" customWidth="1"/>
    <col min="9736" max="9736" width="9.140625" style="21"/>
    <col min="9737" max="9737" width="10.7109375" style="21" bestFit="1" customWidth="1"/>
    <col min="9738" max="9738" width="13.28515625" style="21" customWidth="1"/>
    <col min="9739" max="9739" width="14.5703125" style="21" customWidth="1"/>
    <col min="9740" max="9985" width="9.140625" style="21"/>
    <col min="9986" max="9986" width="30.140625" style="21" customWidth="1"/>
    <col min="9987" max="9987" width="59.42578125" style="21" customWidth="1"/>
    <col min="9988" max="9988" width="55.28515625" style="21" customWidth="1"/>
    <col min="9989" max="9989" width="7.85546875" style="21" customWidth="1"/>
    <col min="9990" max="9990" width="8.140625" style="21" customWidth="1"/>
    <col min="9991" max="9991" width="12.5703125" style="21" customWidth="1"/>
    <col min="9992" max="9992" width="9.140625" style="21"/>
    <col min="9993" max="9993" width="10.7109375" style="21" bestFit="1" customWidth="1"/>
    <col min="9994" max="9994" width="13.28515625" style="21" customWidth="1"/>
    <col min="9995" max="9995" width="14.5703125" style="21" customWidth="1"/>
    <col min="9996" max="10241" width="9.140625" style="21"/>
    <col min="10242" max="10242" width="30.140625" style="21" customWidth="1"/>
    <col min="10243" max="10243" width="59.42578125" style="21" customWidth="1"/>
    <col min="10244" max="10244" width="55.28515625" style="21" customWidth="1"/>
    <col min="10245" max="10245" width="7.85546875" style="21" customWidth="1"/>
    <col min="10246" max="10246" width="8.140625" style="21" customWidth="1"/>
    <col min="10247" max="10247" width="12.5703125" style="21" customWidth="1"/>
    <col min="10248" max="10248" width="9.140625" style="21"/>
    <col min="10249" max="10249" width="10.7109375" style="21" bestFit="1" customWidth="1"/>
    <col min="10250" max="10250" width="13.28515625" style="21" customWidth="1"/>
    <col min="10251" max="10251" width="14.5703125" style="21" customWidth="1"/>
    <col min="10252" max="10497" width="9.140625" style="21"/>
    <col min="10498" max="10498" width="30.140625" style="21" customWidth="1"/>
    <col min="10499" max="10499" width="59.42578125" style="21" customWidth="1"/>
    <col min="10500" max="10500" width="55.28515625" style="21" customWidth="1"/>
    <col min="10501" max="10501" width="7.85546875" style="21" customWidth="1"/>
    <col min="10502" max="10502" width="8.140625" style="21" customWidth="1"/>
    <col min="10503" max="10503" width="12.5703125" style="21" customWidth="1"/>
    <col min="10504" max="10504" width="9.140625" style="21"/>
    <col min="10505" max="10505" width="10.7109375" style="21" bestFit="1" customWidth="1"/>
    <col min="10506" max="10506" width="13.28515625" style="21" customWidth="1"/>
    <col min="10507" max="10507" width="14.5703125" style="21" customWidth="1"/>
    <col min="10508" max="10753" width="9.140625" style="21"/>
    <col min="10754" max="10754" width="30.140625" style="21" customWidth="1"/>
    <col min="10755" max="10755" width="59.42578125" style="21" customWidth="1"/>
    <col min="10756" max="10756" width="55.28515625" style="21" customWidth="1"/>
    <col min="10757" max="10757" width="7.85546875" style="21" customWidth="1"/>
    <col min="10758" max="10758" width="8.140625" style="21" customWidth="1"/>
    <col min="10759" max="10759" width="12.5703125" style="21" customWidth="1"/>
    <col min="10760" max="10760" width="9.140625" style="21"/>
    <col min="10761" max="10761" width="10.7109375" style="21" bestFit="1" customWidth="1"/>
    <col min="10762" max="10762" width="13.28515625" style="21" customWidth="1"/>
    <col min="10763" max="10763" width="14.5703125" style="21" customWidth="1"/>
    <col min="10764" max="11009" width="9.140625" style="21"/>
    <col min="11010" max="11010" width="30.140625" style="21" customWidth="1"/>
    <col min="11011" max="11011" width="59.42578125" style="21" customWidth="1"/>
    <col min="11012" max="11012" width="55.28515625" style="21" customWidth="1"/>
    <col min="11013" max="11013" width="7.85546875" style="21" customWidth="1"/>
    <col min="11014" max="11014" width="8.140625" style="21" customWidth="1"/>
    <col min="11015" max="11015" width="12.5703125" style="21" customWidth="1"/>
    <col min="11016" max="11016" width="9.140625" style="21"/>
    <col min="11017" max="11017" width="10.7109375" style="21" bestFit="1" customWidth="1"/>
    <col min="11018" max="11018" width="13.28515625" style="21" customWidth="1"/>
    <col min="11019" max="11019" width="14.5703125" style="21" customWidth="1"/>
    <col min="11020" max="11265" width="9.140625" style="21"/>
    <col min="11266" max="11266" width="30.140625" style="21" customWidth="1"/>
    <col min="11267" max="11267" width="59.42578125" style="21" customWidth="1"/>
    <col min="11268" max="11268" width="55.28515625" style="21" customWidth="1"/>
    <col min="11269" max="11269" width="7.85546875" style="21" customWidth="1"/>
    <col min="11270" max="11270" width="8.140625" style="21" customWidth="1"/>
    <col min="11271" max="11271" width="12.5703125" style="21" customWidth="1"/>
    <col min="11272" max="11272" width="9.140625" style="21"/>
    <col min="11273" max="11273" width="10.7109375" style="21" bestFit="1" customWidth="1"/>
    <col min="11274" max="11274" width="13.28515625" style="21" customWidth="1"/>
    <col min="11275" max="11275" width="14.5703125" style="21" customWidth="1"/>
    <col min="11276" max="11521" width="9.140625" style="21"/>
    <col min="11522" max="11522" width="30.140625" style="21" customWidth="1"/>
    <col min="11523" max="11523" width="59.42578125" style="21" customWidth="1"/>
    <col min="11524" max="11524" width="55.28515625" style="21" customWidth="1"/>
    <col min="11525" max="11525" width="7.85546875" style="21" customWidth="1"/>
    <col min="11526" max="11526" width="8.140625" style="21" customWidth="1"/>
    <col min="11527" max="11527" width="12.5703125" style="21" customWidth="1"/>
    <col min="11528" max="11528" width="9.140625" style="21"/>
    <col min="11529" max="11529" width="10.7109375" style="21" bestFit="1" customWidth="1"/>
    <col min="11530" max="11530" width="13.28515625" style="21" customWidth="1"/>
    <col min="11531" max="11531" width="14.5703125" style="21" customWidth="1"/>
    <col min="11532" max="11777" width="9.140625" style="21"/>
    <col min="11778" max="11778" width="30.140625" style="21" customWidth="1"/>
    <col min="11779" max="11779" width="59.42578125" style="21" customWidth="1"/>
    <col min="11780" max="11780" width="55.28515625" style="21" customWidth="1"/>
    <col min="11781" max="11781" width="7.85546875" style="21" customWidth="1"/>
    <col min="11782" max="11782" width="8.140625" style="21" customWidth="1"/>
    <col min="11783" max="11783" width="12.5703125" style="21" customWidth="1"/>
    <col min="11784" max="11784" width="9.140625" style="21"/>
    <col min="11785" max="11785" width="10.7109375" style="21" bestFit="1" customWidth="1"/>
    <col min="11786" max="11786" width="13.28515625" style="21" customWidth="1"/>
    <col min="11787" max="11787" width="14.5703125" style="21" customWidth="1"/>
    <col min="11788" max="12033" width="9.140625" style="21"/>
    <col min="12034" max="12034" width="30.140625" style="21" customWidth="1"/>
    <col min="12035" max="12035" width="59.42578125" style="21" customWidth="1"/>
    <col min="12036" max="12036" width="55.28515625" style="21" customWidth="1"/>
    <col min="12037" max="12037" width="7.85546875" style="21" customWidth="1"/>
    <col min="12038" max="12038" width="8.140625" style="21" customWidth="1"/>
    <col min="12039" max="12039" width="12.5703125" style="21" customWidth="1"/>
    <col min="12040" max="12040" width="9.140625" style="21"/>
    <col min="12041" max="12041" width="10.7109375" style="21" bestFit="1" customWidth="1"/>
    <col min="12042" max="12042" width="13.28515625" style="21" customWidth="1"/>
    <col min="12043" max="12043" width="14.5703125" style="21" customWidth="1"/>
    <col min="12044" max="12289" width="9.140625" style="21"/>
    <col min="12290" max="12290" width="30.140625" style="21" customWidth="1"/>
    <col min="12291" max="12291" width="59.42578125" style="21" customWidth="1"/>
    <col min="12292" max="12292" width="55.28515625" style="21" customWidth="1"/>
    <col min="12293" max="12293" width="7.85546875" style="21" customWidth="1"/>
    <col min="12294" max="12294" width="8.140625" style="21" customWidth="1"/>
    <col min="12295" max="12295" width="12.5703125" style="21" customWidth="1"/>
    <col min="12296" max="12296" width="9.140625" style="21"/>
    <col min="12297" max="12297" width="10.7109375" style="21" bestFit="1" customWidth="1"/>
    <col min="12298" max="12298" width="13.28515625" style="21" customWidth="1"/>
    <col min="12299" max="12299" width="14.5703125" style="21" customWidth="1"/>
    <col min="12300" max="12545" width="9.140625" style="21"/>
    <col min="12546" max="12546" width="30.140625" style="21" customWidth="1"/>
    <col min="12547" max="12547" width="59.42578125" style="21" customWidth="1"/>
    <col min="12548" max="12548" width="55.28515625" style="21" customWidth="1"/>
    <col min="12549" max="12549" width="7.85546875" style="21" customWidth="1"/>
    <col min="12550" max="12550" width="8.140625" style="21" customWidth="1"/>
    <col min="12551" max="12551" width="12.5703125" style="21" customWidth="1"/>
    <col min="12552" max="12552" width="9.140625" style="21"/>
    <col min="12553" max="12553" width="10.7109375" style="21" bestFit="1" customWidth="1"/>
    <col min="12554" max="12554" width="13.28515625" style="21" customWidth="1"/>
    <col min="12555" max="12555" width="14.5703125" style="21" customWidth="1"/>
    <col min="12556" max="12801" width="9.140625" style="21"/>
    <col min="12802" max="12802" width="30.140625" style="21" customWidth="1"/>
    <col min="12803" max="12803" width="59.42578125" style="21" customWidth="1"/>
    <col min="12804" max="12804" width="55.28515625" style="21" customWidth="1"/>
    <col min="12805" max="12805" width="7.85546875" style="21" customWidth="1"/>
    <col min="12806" max="12806" width="8.140625" style="21" customWidth="1"/>
    <col min="12807" max="12807" width="12.5703125" style="21" customWidth="1"/>
    <col min="12808" max="12808" width="9.140625" style="21"/>
    <col min="12809" max="12809" width="10.7109375" style="21" bestFit="1" customWidth="1"/>
    <col min="12810" max="12810" width="13.28515625" style="21" customWidth="1"/>
    <col min="12811" max="12811" width="14.5703125" style="21" customWidth="1"/>
    <col min="12812" max="13057" width="9.140625" style="21"/>
    <col min="13058" max="13058" width="30.140625" style="21" customWidth="1"/>
    <col min="13059" max="13059" width="59.42578125" style="21" customWidth="1"/>
    <col min="13060" max="13060" width="55.28515625" style="21" customWidth="1"/>
    <col min="13061" max="13061" width="7.85546875" style="21" customWidth="1"/>
    <col min="13062" max="13062" width="8.140625" style="21" customWidth="1"/>
    <col min="13063" max="13063" width="12.5703125" style="21" customWidth="1"/>
    <col min="13064" max="13064" width="9.140625" style="21"/>
    <col min="13065" max="13065" width="10.7109375" style="21" bestFit="1" customWidth="1"/>
    <col min="13066" max="13066" width="13.28515625" style="21" customWidth="1"/>
    <col min="13067" max="13067" width="14.5703125" style="21" customWidth="1"/>
    <col min="13068" max="13313" width="9.140625" style="21"/>
    <col min="13314" max="13314" width="30.140625" style="21" customWidth="1"/>
    <col min="13315" max="13315" width="59.42578125" style="21" customWidth="1"/>
    <col min="13316" max="13316" width="55.28515625" style="21" customWidth="1"/>
    <col min="13317" max="13317" width="7.85546875" style="21" customWidth="1"/>
    <col min="13318" max="13318" width="8.140625" style="21" customWidth="1"/>
    <col min="13319" max="13319" width="12.5703125" style="21" customWidth="1"/>
    <col min="13320" max="13320" width="9.140625" style="21"/>
    <col min="13321" max="13321" width="10.7109375" style="21" bestFit="1" customWidth="1"/>
    <col min="13322" max="13322" width="13.28515625" style="21" customWidth="1"/>
    <col min="13323" max="13323" width="14.5703125" style="21" customWidth="1"/>
    <col min="13324" max="13569" width="9.140625" style="21"/>
    <col min="13570" max="13570" width="30.140625" style="21" customWidth="1"/>
    <col min="13571" max="13571" width="59.42578125" style="21" customWidth="1"/>
    <col min="13572" max="13572" width="55.28515625" style="21" customWidth="1"/>
    <col min="13573" max="13573" width="7.85546875" style="21" customWidth="1"/>
    <col min="13574" max="13574" width="8.140625" style="21" customWidth="1"/>
    <col min="13575" max="13575" width="12.5703125" style="21" customWidth="1"/>
    <col min="13576" max="13576" width="9.140625" style="21"/>
    <col min="13577" max="13577" width="10.7109375" style="21" bestFit="1" customWidth="1"/>
    <col min="13578" max="13578" width="13.28515625" style="21" customWidth="1"/>
    <col min="13579" max="13579" width="14.5703125" style="21" customWidth="1"/>
    <col min="13580" max="13825" width="9.140625" style="21"/>
    <col min="13826" max="13826" width="30.140625" style="21" customWidth="1"/>
    <col min="13827" max="13827" width="59.42578125" style="21" customWidth="1"/>
    <col min="13828" max="13828" width="55.28515625" style="21" customWidth="1"/>
    <col min="13829" max="13829" width="7.85546875" style="21" customWidth="1"/>
    <col min="13830" max="13830" width="8.140625" style="21" customWidth="1"/>
    <col min="13831" max="13831" width="12.5703125" style="21" customWidth="1"/>
    <col min="13832" max="13832" width="9.140625" style="21"/>
    <col min="13833" max="13833" width="10.7109375" style="21" bestFit="1" customWidth="1"/>
    <col min="13834" max="13834" width="13.28515625" style="21" customWidth="1"/>
    <col min="13835" max="13835" width="14.5703125" style="21" customWidth="1"/>
    <col min="13836" max="14081" width="9.140625" style="21"/>
    <col min="14082" max="14082" width="30.140625" style="21" customWidth="1"/>
    <col min="14083" max="14083" width="59.42578125" style="21" customWidth="1"/>
    <col min="14084" max="14084" width="55.28515625" style="21" customWidth="1"/>
    <col min="14085" max="14085" width="7.85546875" style="21" customWidth="1"/>
    <col min="14086" max="14086" width="8.140625" style="21" customWidth="1"/>
    <col min="14087" max="14087" width="12.5703125" style="21" customWidth="1"/>
    <col min="14088" max="14088" width="9.140625" style="21"/>
    <col min="14089" max="14089" width="10.7109375" style="21" bestFit="1" customWidth="1"/>
    <col min="14090" max="14090" width="13.28515625" style="21" customWidth="1"/>
    <col min="14091" max="14091" width="14.5703125" style="21" customWidth="1"/>
    <col min="14092" max="14337" width="9.140625" style="21"/>
    <col min="14338" max="14338" width="30.140625" style="21" customWidth="1"/>
    <col min="14339" max="14339" width="59.42578125" style="21" customWidth="1"/>
    <col min="14340" max="14340" width="55.28515625" style="21" customWidth="1"/>
    <col min="14341" max="14341" width="7.85546875" style="21" customWidth="1"/>
    <col min="14342" max="14342" width="8.140625" style="21" customWidth="1"/>
    <col min="14343" max="14343" width="12.5703125" style="21" customWidth="1"/>
    <col min="14344" max="14344" width="9.140625" style="21"/>
    <col min="14345" max="14345" width="10.7109375" style="21" bestFit="1" customWidth="1"/>
    <col min="14346" max="14346" width="13.28515625" style="21" customWidth="1"/>
    <col min="14347" max="14347" width="14.5703125" style="21" customWidth="1"/>
    <col min="14348" max="14593" width="9.140625" style="21"/>
    <col min="14594" max="14594" width="30.140625" style="21" customWidth="1"/>
    <col min="14595" max="14595" width="59.42578125" style="21" customWidth="1"/>
    <col min="14596" max="14596" width="55.28515625" style="21" customWidth="1"/>
    <col min="14597" max="14597" width="7.85546875" style="21" customWidth="1"/>
    <col min="14598" max="14598" width="8.140625" style="21" customWidth="1"/>
    <col min="14599" max="14599" width="12.5703125" style="21" customWidth="1"/>
    <col min="14600" max="14600" width="9.140625" style="21"/>
    <col min="14601" max="14601" width="10.7109375" style="21" bestFit="1" customWidth="1"/>
    <col min="14602" max="14602" width="13.28515625" style="21" customWidth="1"/>
    <col min="14603" max="14603" width="14.5703125" style="21" customWidth="1"/>
    <col min="14604" max="14849" width="9.140625" style="21"/>
    <col min="14850" max="14850" width="30.140625" style="21" customWidth="1"/>
    <col min="14851" max="14851" width="59.42578125" style="21" customWidth="1"/>
    <col min="14852" max="14852" width="55.28515625" style="21" customWidth="1"/>
    <col min="14853" max="14853" width="7.85546875" style="21" customWidth="1"/>
    <col min="14854" max="14854" width="8.140625" style="21" customWidth="1"/>
    <col min="14855" max="14855" width="12.5703125" style="21" customWidth="1"/>
    <col min="14856" max="14856" width="9.140625" style="21"/>
    <col min="14857" max="14857" width="10.7109375" style="21" bestFit="1" customWidth="1"/>
    <col min="14858" max="14858" width="13.28515625" style="21" customWidth="1"/>
    <col min="14859" max="14859" width="14.5703125" style="21" customWidth="1"/>
    <col min="14860" max="15105" width="9.140625" style="21"/>
    <col min="15106" max="15106" width="30.140625" style="21" customWidth="1"/>
    <col min="15107" max="15107" width="59.42578125" style="21" customWidth="1"/>
    <col min="15108" max="15108" width="55.28515625" style="21" customWidth="1"/>
    <col min="15109" max="15109" width="7.85546875" style="21" customWidth="1"/>
    <col min="15110" max="15110" width="8.140625" style="21" customWidth="1"/>
    <col min="15111" max="15111" width="12.5703125" style="21" customWidth="1"/>
    <col min="15112" max="15112" width="9.140625" style="21"/>
    <col min="15113" max="15113" width="10.7109375" style="21" bestFit="1" customWidth="1"/>
    <col min="15114" max="15114" width="13.28515625" style="21" customWidth="1"/>
    <col min="15115" max="15115" width="14.5703125" style="21" customWidth="1"/>
    <col min="15116" max="15361" width="9.140625" style="21"/>
    <col min="15362" max="15362" width="30.140625" style="21" customWidth="1"/>
    <col min="15363" max="15363" width="59.42578125" style="21" customWidth="1"/>
    <col min="15364" max="15364" width="55.28515625" style="21" customWidth="1"/>
    <col min="15365" max="15365" width="7.85546875" style="21" customWidth="1"/>
    <col min="15366" max="15366" width="8.140625" style="21" customWidth="1"/>
    <col min="15367" max="15367" width="12.5703125" style="21" customWidth="1"/>
    <col min="15368" max="15368" width="9.140625" style="21"/>
    <col min="15369" max="15369" width="10.7109375" style="21" bestFit="1" customWidth="1"/>
    <col min="15370" max="15370" width="13.28515625" style="21" customWidth="1"/>
    <col min="15371" max="15371" width="14.5703125" style="21" customWidth="1"/>
    <col min="15372" max="15617" width="9.140625" style="21"/>
    <col min="15618" max="15618" width="30.140625" style="21" customWidth="1"/>
    <col min="15619" max="15619" width="59.42578125" style="21" customWidth="1"/>
    <col min="15620" max="15620" width="55.28515625" style="21" customWidth="1"/>
    <col min="15621" max="15621" width="7.85546875" style="21" customWidth="1"/>
    <col min="15622" max="15622" width="8.140625" style="21" customWidth="1"/>
    <col min="15623" max="15623" width="12.5703125" style="21" customWidth="1"/>
    <col min="15624" max="15624" width="9.140625" style="21"/>
    <col min="15625" max="15625" width="10.7109375" style="21" bestFit="1" customWidth="1"/>
    <col min="15626" max="15626" width="13.28515625" style="21" customWidth="1"/>
    <col min="15627" max="15627" width="14.5703125" style="21" customWidth="1"/>
    <col min="15628" max="15873" width="9.140625" style="21"/>
    <col min="15874" max="15874" width="30.140625" style="21" customWidth="1"/>
    <col min="15875" max="15875" width="59.42578125" style="21" customWidth="1"/>
    <col min="15876" max="15876" width="55.28515625" style="21" customWidth="1"/>
    <col min="15877" max="15877" width="7.85546875" style="21" customWidth="1"/>
    <col min="15878" max="15878" width="8.140625" style="21" customWidth="1"/>
    <col min="15879" max="15879" width="12.5703125" style="21" customWidth="1"/>
    <col min="15880" max="15880" width="9.140625" style="21"/>
    <col min="15881" max="15881" width="10.7109375" style="21" bestFit="1" customWidth="1"/>
    <col min="15882" max="15882" width="13.28515625" style="21" customWidth="1"/>
    <col min="15883" max="15883" width="14.5703125" style="21" customWidth="1"/>
    <col min="15884" max="16129" width="9.140625" style="21"/>
    <col min="16130" max="16130" width="30.140625" style="21" customWidth="1"/>
    <col min="16131" max="16131" width="59.42578125" style="21" customWidth="1"/>
    <col min="16132" max="16132" width="55.28515625" style="21" customWidth="1"/>
    <col min="16133" max="16133" width="7.85546875" style="21" customWidth="1"/>
    <col min="16134" max="16134" width="8.140625" style="21" customWidth="1"/>
    <col min="16135" max="16135" width="12.5703125" style="21" customWidth="1"/>
    <col min="16136" max="16136" width="9.140625" style="21"/>
    <col min="16137" max="16137" width="10.7109375" style="21" bestFit="1" customWidth="1"/>
    <col min="16138" max="16138" width="13.28515625" style="21" customWidth="1"/>
    <col min="16139" max="16139" width="14.5703125" style="21" customWidth="1"/>
    <col min="16140" max="16384" width="9.140625" style="21"/>
  </cols>
  <sheetData>
    <row r="1" spans="1:15" ht="18.75" customHeight="1" x14ac:dyDescent="0.25">
      <c r="C1" s="78"/>
      <c r="D1" s="78"/>
      <c r="E1" s="78"/>
      <c r="F1" s="78"/>
      <c r="G1" s="78"/>
      <c r="H1" s="78"/>
      <c r="I1" s="78" t="s">
        <v>265</v>
      </c>
      <c r="J1" s="78"/>
      <c r="K1" s="78"/>
      <c r="L1" s="78"/>
      <c r="M1" s="78"/>
      <c r="N1" s="78"/>
      <c r="O1" s="78"/>
    </row>
    <row r="2" spans="1:15" ht="54.75" customHeight="1" x14ac:dyDescent="0.25">
      <c r="A2" s="797" t="s">
        <v>266</v>
      </c>
      <c r="B2" s="798"/>
      <c r="C2" s="798"/>
      <c r="D2" s="798"/>
      <c r="E2" s="798"/>
      <c r="F2" s="798"/>
      <c r="G2" s="798"/>
      <c r="H2" s="798"/>
      <c r="I2" s="798"/>
      <c r="J2" s="798"/>
      <c r="K2" s="799"/>
    </row>
    <row r="4" spans="1:15" ht="96.75" customHeight="1" x14ac:dyDescent="0.25">
      <c r="A4" s="85" t="s">
        <v>1</v>
      </c>
      <c r="B4" s="781" t="s">
        <v>267</v>
      </c>
      <c r="C4" s="800"/>
      <c r="D4" s="755" t="s">
        <v>268</v>
      </c>
      <c r="E4" s="755"/>
      <c r="F4" s="755" t="s">
        <v>12</v>
      </c>
      <c r="G4" s="759"/>
      <c r="H4" s="755" t="s">
        <v>10</v>
      </c>
      <c r="I4" s="759"/>
      <c r="J4" s="86" t="s">
        <v>269</v>
      </c>
      <c r="K4" s="87" t="s">
        <v>270</v>
      </c>
    </row>
    <row r="5" spans="1:15" ht="29.25" hidden="1" customHeight="1" x14ac:dyDescent="0.25">
      <c r="A5" s="88" t="s">
        <v>271</v>
      </c>
      <c r="B5" s="801" t="s">
        <v>272</v>
      </c>
      <c r="C5" s="802"/>
      <c r="D5" s="802"/>
      <c r="E5" s="802"/>
      <c r="F5" s="802"/>
      <c r="G5" s="802"/>
      <c r="H5" s="802"/>
      <c r="I5" s="802"/>
      <c r="J5" s="802"/>
      <c r="K5" s="802"/>
    </row>
    <row r="6" spans="1:15" ht="63.75" hidden="1" customHeight="1" x14ac:dyDescent="0.25">
      <c r="A6" s="805" t="s">
        <v>33</v>
      </c>
      <c r="B6" s="786" t="s">
        <v>273</v>
      </c>
      <c r="C6" s="795" t="s">
        <v>274</v>
      </c>
      <c r="D6" s="89" t="s">
        <v>275</v>
      </c>
      <c r="E6" s="804" t="s">
        <v>276</v>
      </c>
      <c r="F6" s="90"/>
      <c r="G6" s="769"/>
      <c r="H6" s="91"/>
      <c r="I6" s="769"/>
      <c r="J6" s="773"/>
      <c r="K6" s="775"/>
    </row>
    <row r="7" spans="1:15" ht="52.5" hidden="1" customHeight="1" x14ac:dyDescent="0.25">
      <c r="A7" s="805"/>
      <c r="B7" s="755"/>
      <c r="C7" s="781"/>
      <c r="D7" s="92" t="s">
        <v>277</v>
      </c>
      <c r="E7" s="804"/>
      <c r="F7" s="93"/>
      <c r="G7" s="752"/>
      <c r="H7" s="94"/>
      <c r="I7" s="752"/>
      <c r="J7" s="785"/>
      <c r="K7" s="786"/>
    </row>
    <row r="8" spans="1:15" ht="70.5" hidden="1" customHeight="1" x14ac:dyDescent="0.25">
      <c r="A8" s="805"/>
      <c r="B8" s="755"/>
      <c r="C8" s="781" t="s">
        <v>278</v>
      </c>
      <c r="D8" s="95" t="s">
        <v>279</v>
      </c>
      <c r="E8" s="779" t="s">
        <v>276</v>
      </c>
      <c r="F8" s="96"/>
      <c r="G8" s="752"/>
      <c r="H8" s="96"/>
      <c r="I8" s="752"/>
      <c r="J8" s="752"/>
      <c r="K8" s="753"/>
    </row>
    <row r="9" spans="1:15" ht="31.5" hidden="1" customHeight="1" x14ac:dyDescent="0.25">
      <c r="A9" s="805"/>
      <c r="B9" s="753"/>
      <c r="C9" s="803"/>
      <c r="D9" s="97" t="s">
        <v>277</v>
      </c>
      <c r="E9" s="804"/>
      <c r="F9" s="94"/>
      <c r="G9" s="752"/>
      <c r="H9" s="94"/>
      <c r="I9" s="752"/>
      <c r="J9" s="752"/>
      <c r="K9" s="775"/>
    </row>
    <row r="10" spans="1:15" ht="143.25" hidden="1" customHeight="1" x14ac:dyDescent="0.25">
      <c r="A10" s="755" t="s">
        <v>280</v>
      </c>
      <c r="B10" s="755" t="s">
        <v>281</v>
      </c>
      <c r="C10" s="796" t="s">
        <v>282</v>
      </c>
      <c r="D10" s="756" t="s">
        <v>283</v>
      </c>
      <c r="E10" s="756"/>
      <c r="F10" s="96"/>
      <c r="G10" s="755"/>
      <c r="H10" s="96"/>
      <c r="I10" s="755"/>
      <c r="J10" s="752"/>
      <c r="K10" s="764"/>
    </row>
    <row r="11" spans="1:15" ht="31.5" hidden="1" customHeight="1" x14ac:dyDescent="0.25">
      <c r="A11" s="755"/>
      <c r="B11" s="755"/>
      <c r="C11" s="796"/>
      <c r="D11" s="776" t="s">
        <v>284</v>
      </c>
      <c r="E11" s="776"/>
      <c r="F11" s="94"/>
      <c r="G11" s="755"/>
      <c r="H11" s="94"/>
      <c r="I11" s="755"/>
      <c r="J11" s="752"/>
      <c r="K11" s="788"/>
    </row>
    <row r="12" spans="1:15" ht="27.75" hidden="1" customHeight="1" x14ac:dyDescent="0.25">
      <c r="A12" s="764" t="s">
        <v>285</v>
      </c>
      <c r="B12" s="755" t="s">
        <v>286</v>
      </c>
      <c r="C12" s="795" t="s">
        <v>287</v>
      </c>
      <c r="D12" s="95" t="s">
        <v>288</v>
      </c>
      <c r="E12" s="779" t="s">
        <v>276</v>
      </c>
      <c r="F12" s="98"/>
      <c r="G12" s="752"/>
      <c r="H12" s="96"/>
      <c r="I12" s="755"/>
      <c r="J12" s="752"/>
      <c r="K12" s="764"/>
    </row>
    <row r="13" spans="1:15" ht="31.5" hidden="1" customHeight="1" x14ac:dyDescent="0.25">
      <c r="A13" s="789"/>
      <c r="B13" s="755"/>
      <c r="C13" s="781"/>
      <c r="D13" s="99" t="s">
        <v>289</v>
      </c>
      <c r="E13" s="780"/>
      <c r="F13" s="94"/>
      <c r="G13" s="752"/>
      <c r="H13" s="94"/>
      <c r="I13" s="755"/>
      <c r="J13" s="752"/>
      <c r="K13" s="789"/>
    </row>
    <row r="14" spans="1:15" ht="31.5" hidden="1" customHeight="1" x14ac:dyDescent="0.25">
      <c r="A14" s="789"/>
      <c r="B14" s="755"/>
      <c r="C14" s="755" t="s">
        <v>290</v>
      </c>
      <c r="D14" s="767" t="s">
        <v>291</v>
      </c>
      <c r="E14" s="767"/>
      <c r="F14" s="96"/>
      <c r="G14" s="755"/>
      <c r="H14" s="96"/>
      <c r="I14" s="755"/>
      <c r="J14" s="752"/>
      <c r="K14" s="764"/>
    </row>
    <row r="15" spans="1:15" ht="31.5" hidden="1" customHeight="1" x14ac:dyDescent="0.25">
      <c r="A15" s="789"/>
      <c r="B15" s="755"/>
      <c r="C15" s="755"/>
      <c r="D15" s="751" t="s">
        <v>292</v>
      </c>
      <c r="E15" s="751"/>
      <c r="F15" s="94"/>
      <c r="G15" s="755"/>
      <c r="H15" s="94"/>
      <c r="I15" s="755"/>
      <c r="J15" s="752"/>
      <c r="K15" s="789"/>
    </row>
    <row r="16" spans="1:15" ht="31.5" hidden="1" customHeight="1" x14ac:dyDescent="0.25">
      <c r="A16" s="789"/>
      <c r="B16" s="755"/>
      <c r="C16" s="755" t="s">
        <v>293</v>
      </c>
      <c r="D16" s="756" t="s">
        <v>291</v>
      </c>
      <c r="E16" s="756"/>
      <c r="F16" s="96"/>
      <c r="G16" s="752"/>
      <c r="H16" s="96"/>
      <c r="I16" s="755"/>
      <c r="J16" s="752"/>
      <c r="K16" s="753"/>
    </row>
    <row r="17" spans="1:11" ht="31.5" hidden="1" customHeight="1" x14ac:dyDescent="0.25">
      <c r="A17" s="789"/>
      <c r="B17" s="755"/>
      <c r="C17" s="755"/>
      <c r="D17" s="751" t="s">
        <v>294</v>
      </c>
      <c r="E17" s="751"/>
      <c r="F17" s="94"/>
      <c r="G17" s="752"/>
      <c r="H17" s="94"/>
      <c r="I17" s="755"/>
      <c r="J17" s="752"/>
      <c r="K17" s="786"/>
    </row>
    <row r="18" spans="1:11" ht="31.5" hidden="1" customHeight="1" x14ac:dyDescent="0.25">
      <c r="A18" s="100" t="s">
        <v>295</v>
      </c>
      <c r="B18" s="792" t="s">
        <v>296</v>
      </c>
      <c r="C18" s="793"/>
      <c r="D18" s="793"/>
      <c r="E18" s="793"/>
      <c r="F18" s="793"/>
      <c r="G18" s="793"/>
      <c r="H18" s="793"/>
      <c r="I18" s="793"/>
      <c r="J18" s="793"/>
      <c r="K18" s="794"/>
    </row>
    <row r="19" spans="1:11" ht="60" hidden="1" customHeight="1" x14ac:dyDescent="0.25">
      <c r="A19" s="755" t="s">
        <v>297</v>
      </c>
      <c r="B19" s="755" t="s">
        <v>298</v>
      </c>
      <c r="C19" s="755" t="s">
        <v>299</v>
      </c>
      <c r="D19" s="756" t="s">
        <v>300</v>
      </c>
      <c r="E19" s="756"/>
      <c r="F19" s="96"/>
      <c r="G19" s="752"/>
      <c r="H19" s="96"/>
      <c r="I19" s="752"/>
      <c r="J19" s="752"/>
      <c r="K19" s="764"/>
    </row>
    <row r="20" spans="1:11" ht="40.5" hidden="1" customHeight="1" x14ac:dyDescent="0.25">
      <c r="A20" s="755"/>
      <c r="B20" s="755"/>
      <c r="C20" s="755"/>
      <c r="D20" s="776" t="s">
        <v>301</v>
      </c>
      <c r="E20" s="776"/>
      <c r="F20" s="94"/>
      <c r="G20" s="752"/>
      <c r="H20" s="94"/>
      <c r="I20" s="752"/>
      <c r="J20" s="752"/>
      <c r="K20" s="788"/>
    </row>
    <row r="21" spans="1:11" ht="51.75" hidden="1" x14ac:dyDescent="0.25">
      <c r="A21" s="755"/>
      <c r="B21" s="755"/>
      <c r="C21" s="781" t="s">
        <v>302</v>
      </c>
      <c r="D21" s="95" t="s">
        <v>303</v>
      </c>
      <c r="E21" s="790" t="s">
        <v>276</v>
      </c>
      <c r="F21" s="98"/>
      <c r="G21" s="752"/>
      <c r="H21" s="96"/>
      <c r="I21" s="755"/>
      <c r="J21" s="752"/>
      <c r="K21" s="764"/>
    </row>
    <row r="22" spans="1:11" ht="54" hidden="1" customHeight="1" x14ac:dyDescent="0.25">
      <c r="A22" s="755"/>
      <c r="B22" s="755"/>
      <c r="C22" s="781"/>
      <c r="D22" s="99" t="s">
        <v>304</v>
      </c>
      <c r="E22" s="791"/>
      <c r="F22" s="93"/>
      <c r="G22" s="752"/>
      <c r="H22" s="94"/>
      <c r="I22" s="755"/>
      <c r="J22" s="752"/>
      <c r="K22" s="788"/>
    </row>
    <row r="23" spans="1:11" ht="144.75" hidden="1" customHeight="1" x14ac:dyDescent="0.25">
      <c r="A23" s="755" t="s">
        <v>305</v>
      </c>
      <c r="B23" s="753" t="s">
        <v>281</v>
      </c>
      <c r="C23" s="755" t="s">
        <v>306</v>
      </c>
      <c r="D23" s="767" t="s">
        <v>307</v>
      </c>
      <c r="E23" s="767"/>
      <c r="F23" s="96"/>
      <c r="G23" s="752"/>
      <c r="H23" s="96"/>
      <c r="I23" s="752"/>
      <c r="J23" s="785"/>
      <c r="K23" s="753"/>
    </row>
    <row r="24" spans="1:11" ht="47.25" hidden="1" customHeight="1" x14ac:dyDescent="0.25">
      <c r="A24" s="755"/>
      <c r="B24" s="766"/>
      <c r="C24" s="753"/>
      <c r="D24" s="776" t="s">
        <v>284</v>
      </c>
      <c r="E24" s="776"/>
      <c r="F24" s="101"/>
      <c r="G24" s="770"/>
      <c r="H24" s="101"/>
      <c r="I24" s="770"/>
      <c r="J24" s="774"/>
      <c r="K24" s="786"/>
    </row>
    <row r="25" spans="1:11" ht="47.25" hidden="1" customHeight="1" x14ac:dyDescent="0.25">
      <c r="A25" s="764" t="s">
        <v>308</v>
      </c>
      <c r="B25" s="753" t="s">
        <v>309</v>
      </c>
      <c r="C25" s="781" t="s">
        <v>310</v>
      </c>
      <c r="D25" s="95" t="s">
        <v>288</v>
      </c>
      <c r="E25" s="779" t="s">
        <v>276</v>
      </c>
      <c r="F25" s="98"/>
      <c r="G25" s="752"/>
      <c r="H25" s="96"/>
      <c r="I25" s="755"/>
      <c r="J25" s="752"/>
      <c r="K25" s="755"/>
    </row>
    <row r="26" spans="1:11" ht="47.25" hidden="1" customHeight="1" x14ac:dyDescent="0.25">
      <c r="A26" s="765"/>
      <c r="B26" s="775"/>
      <c r="C26" s="781"/>
      <c r="D26" s="99" t="s">
        <v>289</v>
      </c>
      <c r="E26" s="780"/>
      <c r="F26" s="93"/>
      <c r="G26" s="752"/>
      <c r="H26" s="94"/>
      <c r="I26" s="755"/>
      <c r="J26" s="752"/>
      <c r="K26" s="758"/>
    </row>
    <row r="27" spans="1:11" ht="47.25" hidden="1" customHeight="1" x14ac:dyDescent="0.25">
      <c r="A27" s="765"/>
      <c r="B27" s="775"/>
      <c r="C27" s="755" t="s">
        <v>311</v>
      </c>
      <c r="D27" s="767" t="s">
        <v>312</v>
      </c>
      <c r="E27" s="782"/>
      <c r="F27" s="96"/>
      <c r="G27" s="752"/>
      <c r="H27" s="96"/>
      <c r="I27" s="757"/>
      <c r="J27" s="752"/>
      <c r="K27" s="755"/>
    </row>
    <row r="28" spans="1:11" ht="47.25" hidden="1" customHeight="1" x14ac:dyDescent="0.25">
      <c r="A28" s="787"/>
      <c r="B28" s="786"/>
      <c r="C28" s="755"/>
      <c r="D28" s="783" t="s">
        <v>313</v>
      </c>
      <c r="E28" s="784"/>
      <c r="F28" s="94"/>
      <c r="G28" s="752"/>
      <c r="H28" s="94"/>
      <c r="I28" s="757"/>
      <c r="J28" s="752"/>
      <c r="K28" s="758"/>
    </row>
    <row r="29" spans="1:11" ht="47.25" customHeight="1" x14ac:dyDescent="0.25">
      <c r="A29" s="102" t="s">
        <v>314</v>
      </c>
      <c r="B29" s="761" t="s">
        <v>315</v>
      </c>
      <c r="C29" s="762"/>
      <c r="D29" s="762"/>
      <c r="E29" s="762"/>
      <c r="F29" s="762"/>
      <c r="G29" s="762"/>
      <c r="H29" s="762"/>
      <c r="I29" s="762"/>
      <c r="J29" s="762"/>
      <c r="K29" s="763"/>
    </row>
    <row r="30" spans="1:11" ht="47.25" customHeight="1" x14ac:dyDescent="0.25">
      <c r="A30" s="764" t="s">
        <v>316</v>
      </c>
      <c r="B30" s="753" t="s">
        <v>317</v>
      </c>
      <c r="C30" s="753" t="s">
        <v>318</v>
      </c>
      <c r="D30" s="767" t="s">
        <v>319</v>
      </c>
      <c r="E30" s="768"/>
      <c r="F30" s="91">
        <v>1</v>
      </c>
      <c r="G30" s="769">
        <v>1</v>
      </c>
      <c r="H30" s="91">
        <v>1</v>
      </c>
      <c r="I30" s="771">
        <v>1.76</v>
      </c>
      <c r="J30" s="773">
        <f>I30-G30</f>
        <v>0.76</v>
      </c>
      <c r="K30" s="753">
        <v>0.3</v>
      </c>
    </row>
    <row r="31" spans="1:11" ht="47.25" customHeight="1" x14ac:dyDescent="0.25">
      <c r="A31" s="765"/>
      <c r="B31" s="766"/>
      <c r="C31" s="766"/>
      <c r="D31" s="776" t="s">
        <v>320</v>
      </c>
      <c r="E31" s="777"/>
      <c r="F31" s="101">
        <v>10</v>
      </c>
      <c r="G31" s="770"/>
      <c r="H31" s="101">
        <v>10</v>
      </c>
      <c r="I31" s="772"/>
      <c r="J31" s="774"/>
      <c r="K31" s="775"/>
    </row>
    <row r="32" spans="1:11" ht="33.75" customHeight="1" x14ac:dyDescent="0.25">
      <c r="A32" s="755" t="s">
        <v>321</v>
      </c>
      <c r="B32" s="755" t="s">
        <v>322</v>
      </c>
      <c r="C32" s="781" t="s">
        <v>323</v>
      </c>
      <c r="D32" s="95" t="s">
        <v>324</v>
      </c>
      <c r="E32" s="779" t="s">
        <v>276</v>
      </c>
      <c r="F32" s="98">
        <v>10</v>
      </c>
      <c r="G32" s="752">
        <v>0</v>
      </c>
      <c r="H32" s="96">
        <v>10</v>
      </c>
      <c r="I32" s="755">
        <v>0</v>
      </c>
      <c r="J32" s="752">
        <f>I32-G32</f>
        <v>0</v>
      </c>
      <c r="K32" s="755">
        <v>0.3</v>
      </c>
    </row>
    <row r="33" spans="1:11" ht="37.5" customHeight="1" x14ac:dyDescent="0.25">
      <c r="A33" s="755"/>
      <c r="B33" s="755"/>
      <c r="C33" s="781"/>
      <c r="D33" s="99" t="s">
        <v>325</v>
      </c>
      <c r="E33" s="780"/>
      <c r="F33" s="93">
        <v>100</v>
      </c>
      <c r="G33" s="752"/>
      <c r="H33" s="94">
        <v>100</v>
      </c>
      <c r="I33" s="755"/>
      <c r="J33" s="752"/>
      <c r="K33" s="755"/>
    </row>
    <row r="34" spans="1:11" ht="59.25" customHeight="1" x14ac:dyDescent="0.25">
      <c r="A34" s="759"/>
      <c r="B34" s="759"/>
      <c r="C34" s="778" t="s">
        <v>416</v>
      </c>
      <c r="D34" s="95" t="s">
        <v>326</v>
      </c>
      <c r="E34" s="779" t="s">
        <v>276</v>
      </c>
      <c r="F34" s="98">
        <v>10</v>
      </c>
      <c r="G34" s="752">
        <v>0</v>
      </c>
      <c r="H34" s="96">
        <v>10</v>
      </c>
      <c r="I34" s="755">
        <v>0</v>
      </c>
      <c r="J34" s="752">
        <f>I34-G34</f>
        <v>0</v>
      </c>
      <c r="K34" s="755">
        <v>0.4</v>
      </c>
    </row>
    <row r="35" spans="1:11" ht="48.75" customHeight="1" x14ac:dyDescent="0.25">
      <c r="A35" s="759"/>
      <c r="B35" s="760"/>
      <c r="C35" s="778"/>
      <c r="D35" s="103" t="s">
        <v>327</v>
      </c>
      <c r="E35" s="780"/>
      <c r="F35" s="93">
        <v>100</v>
      </c>
      <c r="G35" s="752"/>
      <c r="H35" s="93">
        <v>100</v>
      </c>
      <c r="I35" s="755"/>
      <c r="J35" s="752"/>
      <c r="K35" s="755"/>
    </row>
    <row r="36" spans="1:11" ht="48.75" hidden="1" customHeight="1" x14ac:dyDescent="0.25">
      <c r="A36" s="755" t="s">
        <v>328</v>
      </c>
      <c r="B36" s="755" t="s">
        <v>329</v>
      </c>
      <c r="C36" s="755" t="s">
        <v>330</v>
      </c>
      <c r="D36" s="756" t="s">
        <v>291</v>
      </c>
      <c r="E36" s="756"/>
      <c r="F36" s="104">
        <v>1</v>
      </c>
      <c r="G36" s="752">
        <f>F36/F37*100</f>
        <v>1</v>
      </c>
      <c r="H36" s="104">
        <v>1</v>
      </c>
      <c r="I36" s="755">
        <f>H36/H37*100</f>
        <v>1</v>
      </c>
      <c r="J36" s="752">
        <f>I36-G36</f>
        <v>0</v>
      </c>
      <c r="K36" s="753">
        <v>0</v>
      </c>
    </row>
    <row r="37" spans="1:11" ht="48.75" hidden="1" customHeight="1" x14ac:dyDescent="0.25">
      <c r="A37" s="758"/>
      <c r="B37" s="755"/>
      <c r="C37" s="755"/>
      <c r="D37" s="751" t="s">
        <v>331</v>
      </c>
      <c r="E37" s="751"/>
      <c r="F37" s="93">
        <v>100</v>
      </c>
      <c r="G37" s="752"/>
      <c r="H37" s="93">
        <v>100</v>
      </c>
      <c r="I37" s="755"/>
      <c r="J37" s="752"/>
      <c r="K37" s="754"/>
    </row>
    <row r="38" spans="1:11" ht="48.75" hidden="1" customHeight="1" x14ac:dyDescent="0.25">
      <c r="A38" s="758"/>
      <c r="B38" s="755"/>
      <c r="C38" s="755" t="s">
        <v>332</v>
      </c>
      <c r="D38" s="756" t="s">
        <v>291</v>
      </c>
      <c r="E38" s="756"/>
      <c r="F38" s="104">
        <v>3</v>
      </c>
      <c r="G38" s="752">
        <f>F38/F39*100</f>
        <v>3</v>
      </c>
      <c r="H38" s="104">
        <v>3</v>
      </c>
      <c r="I38" s="757">
        <f>H38/H39*100</f>
        <v>3</v>
      </c>
      <c r="J38" s="752">
        <f>I38-G38</f>
        <v>0</v>
      </c>
      <c r="K38" s="753">
        <v>0</v>
      </c>
    </row>
    <row r="39" spans="1:11" ht="48.75" hidden="1" customHeight="1" x14ac:dyDescent="0.25">
      <c r="A39" s="758"/>
      <c r="B39" s="755"/>
      <c r="C39" s="755"/>
      <c r="D39" s="751" t="s">
        <v>333</v>
      </c>
      <c r="E39" s="751"/>
      <c r="F39" s="93">
        <v>100</v>
      </c>
      <c r="G39" s="752"/>
      <c r="H39" s="93">
        <v>100</v>
      </c>
      <c r="I39" s="757"/>
      <c r="J39" s="752"/>
      <c r="K39" s="754"/>
    </row>
    <row r="40" spans="1:11" ht="26.25" hidden="1" customHeight="1" x14ac:dyDescent="0.25">
      <c r="C40" s="105"/>
      <c r="G40" s="78"/>
    </row>
    <row r="41" spans="1:11" ht="26.25" hidden="1" customHeight="1" x14ac:dyDescent="0.3">
      <c r="B41" s="748" t="s">
        <v>334</v>
      </c>
      <c r="C41" s="749"/>
      <c r="D41" s="749"/>
      <c r="E41" s="749"/>
      <c r="F41" s="749"/>
      <c r="G41" s="106"/>
      <c r="H41" s="20"/>
      <c r="I41" s="20"/>
      <c r="J41" s="107" t="e">
        <f>G6/I6*K6+G8/I8*K8+G10*I10*K10+G12/I12*K12+G14/I14*K14+G16/I16*K16</f>
        <v>#DIV/0!</v>
      </c>
      <c r="K41" s="20"/>
    </row>
    <row r="42" spans="1:11" ht="26.25" hidden="1" customHeight="1" x14ac:dyDescent="0.3">
      <c r="B42" s="748" t="s">
        <v>335</v>
      </c>
      <c r="C42" s="749"/>
      <c r="D42" s="749"/>
      <c r="E42" s="749"/>
      <c r="F42" s="749"/>
      <c r="G42" s="106"/>
      <c r="H42" s="20"/>
      <c r="I42" s="20"/>
      <c r="J42" s="107" t="e">
        <f>G19/I19*K19+G21/I21*K21+G23/I23*K23+G25/I25*K25+G27/I27*K27</f>
        <v>#DIV/0!</v>
      </c>
      <c r="K42" s="20"/>
    </row>
    <row r="43" spans="1:11" ht="30.75" hidden="1" customHeight="1" x14ac:dyDescent="0.3">
      <c r="B43" s="748" t="s">
        <v>336</v>
      </c>
      <c r="C43" s="749"/>
      <c r="D43" s="749"/>
      <c r="E43" s="749"/>
      <c r="F43" s="749"/>
      <c r="G43" s="108"/>
      <c r="H43" s="106"/>
      <c r="I43" s="109"/>
      <c r="J43" s="107" t="e">
        <f>G30/I30*K30+G32/I32*K32+G34/I34*K34+G36/I36*K36+G38/I38*K38</f>
        <v>#DIV/0!</v>
      </c>
      <c r="K43" s="20"/>
    </row>
    <row r="44" spans="1:11" ht="18.75" hidden="1" x14ac:dyDescent="0.3">
      <c r="B44" s="20"/>
      <c r="C44" s="20"/>
      <c r="D44" s="20"/>
      <c r="E44" s="20"/>
      <c r="F44" s="20"/>
      <c r="G44" s="20"/>
      <c r="H44" s="20"/>
      <c r="I44" s="20"/>
      <c r="J44" s="20"/>
      <c r="K44" s="20"/>
    </row>
    <row r="45" spans="1:11" ht="40.5" hidden="1" customHeight="1" x14ac:dyDescent="0.3">
      <c r="B45" s="748" t="s">
        <v>417</v>
      </c>
      <c r="C45" s="750"/>
      <c r="D45" s="750"/>
      <c r="E45" s="750"/>
      <c r="F45" s="750"/>
      <c r="G45" s="20"/>
      <c r="H45" s="20"/>
      <c r="I45" s="20"/>
      <c r="J45" s="107" t="e">
        <f>G6/I6*K6+G8/I8*K8+G10/I10*K10</f>
        <v>#DIV/0!</v>
      </c>
      <c r="K45" s="20"/>
    </row>
    <row r="46" spans="1:11" ht="56.25" hidden="1" customHeight="1" x14ac:dyDescent="0.3">
      <c r="B46" s="748" t="s">
        <v>337</v>
      </c>
      <c r="C46" s="750"/>
      <c r="D46" s="750"/>
      <c r="E46" s="750"/>
      <c r="F46" s="750"/>
      <c r="G46" s="20"/>
      <c r="H46" s="20"/>
      <c r="I46" s="20"/>
      <c r="J46" s="107" t="e">
        <f>G19/I19*K19+G21/I21*K21+G23/I23*K23</f>
        <v>#DIV/0!</v>
      </c>
      <c r="K46" s="20"/>
    </row>
    <row r="47" spans="1:11" ht="56.25" customHeight="1" x14ac:dyDescent="0.3">
      <c r="B47" s="748" t="s">
        <v>338</v>
      </c>
      <c r="C47" s="750"/>
      <c r="D47" s="750"/>
      <c r="E47" s="750"/>
      <c r="F47" s="750"/>
      <c r="G47" s="20"/>
      <c r="H47" s="20"/>
      <c r="I47" s="20"/>
      <c r="J47" s="107" t="e">
        <f>G30/I30*K30+G32/I32*K32+G34/I34*K34</f>
        <v>#DIV/0!</v>
      </c>
      <c r="K47" s="20"/>
    </row>
    <row r="48" spans="1:11" ht="18.75" hidden="1" x14ac:dyDescent="0.3">
      <c r="B48" s="20"/>
      <c r="C48" s="20"/>
      <c r="D48" s="20"/>
      <c r="E48" s="20"/>
      <c r="F48" s="20"/>
      <c r="G48" s="20"/>
      <c r="H48" s="20"/>
      <c r="I48" s="3" t="s">
        <v>24</v>
      </c>
      <c r="J48" s="4" t="e">
        <f>(1-J47)*100</f>
        <v>#DIV/0!</v>
      </c>
      <c r="K48" s="20"/>
    </row>
    <row r="49" spans="2:4" hidden="1" x14ac:dyDescent="0.25"/>
    <row r="50" spans="2:4" hidden="1" x14ac:dyDescent="0.25"/>
    <row r="51" spans="2:4" hidden="1" x14ac:dyDescent="0.25">
      <c r="B51" s="21" t="s">
        <v>418</v>
      </c>
      <c r="D51" s="21" t="s">
        <v>341</v>
      </c>
    </row>
    <row r="52" spans="2:4" hidden="1" x14ac:dyDescent="0.25">
      <c r="D52" s="78" t="s">
        <v>342</v>
      </c>
    </row>
    <row r="53" spans="2:4" hidden="1" x14ac:dyDescent="0.25"/>
    <row r="54" spans="2:4" hidden="1" x14ac:dyDescent="0.25"/>
    <row r="55" spans="2:4" hidden="1" x14ac:dyDescent="0.25"/>
    <row r="56" spans="2:4" hidden="1" x14ac:dyDescent="0.25"/>
    <row r="57" spans="2:4" hidden="1" x14ac:dyDescent="0.25"/>
    <row r="58" spans="2:4" hidden="1" x14ac:dyDescent="0.25"/>
    <row r="59" spans="2:4" hidden="1" x14ac:dyDescent="0.25"/>
    <row r="60" spans="2:4" hidden="1" x14ac:dyDescent="0.25"/>
    <row r="61" spans="2:4" hidden="1" x14ac:dyDescent="0.25"/>
    <row r="62" spans="2:4" hidden="1" x14ac:dyDescent="0.25"/>
    <row r="63" spans="2:4" hidden="1" x14ac:dyDescent="0.25"/>
    <row r="64" spans="2:4" hidden="1" x14ac:dyDescent="0.25"/>
    <row r="65" spans="2:5" hidden="1" x14ac:dyDescent="0.25"/>
    <row r="66" spans="2:5" hidden="1" x14ac:dyDescent="0.25"/>
    <row r="67" spans="2:5" hidden="1" x14ac:dyDescent="0.25"/>
    <row r="68" spans="2:5" hidden="1" x14ac:dyDescent="0.25"/>
    <row r="69" spans="2:5" hidden="1" x14ac:dyDescent="0.25"/>
    <row r="70" spans="2:5" hidden="1" x14ac:dyDescent="0.25"/>
    <row r="71" spans="2:5" hidden="1" x14ac:dyDescent="0.25"/>
    <row r="72" spans="2:5" hidden="1" x14ac:dyDescent="0.25"/>
    <row r="73" spans="2:5" hidden="1" x14ac:dyDescent="0.25"/>
    <row r="75" spans="2:5" x14ac:dyDescent="0.25">
      <c r="B75" s="747" t="s">
        <v>339</v>
      </c>
      <c r="C75" s="1" t="s">
        <v>340</v>
      </c>
      <c r="D75" s="2" t="e">
        <f>G34/I34*K34+G30/I30*K30+G32/I32*K32</f>
        <v>#DIV/0!</v>
      </c>
      <c r="E75" s="1"/>
    </row>
    <row r="76" spans="2:5" hidden="1" x14ac:dyDescent="0.25">
      <c r="B76" s="747"/>
      <c r="C76" s="1"/>
      <c r="D76" s="2"/>
      <c r="E76" s="1"/>
    </row>
    <row r="77" spans="2:5" hidden="1" x14ac:dyDescent="0.25">
      <c r="B77" s="747"/>
      <c r="C77" s="1"/>
      <c r="D77" s="2"/>
      <c r="E77" s="1"/>
    </row>
    <row r="78" spans="2:5" hidden="1" x14ac:dyDescent="0.25">
      <c r="B78" s="747"/>
      <c r="C78" s="1"/>
      <c r="D78" s="2"/>
      <c r="E78" s="1"/>
    </row>
    <row r="79" spans="2:5" x14ac:dyDescent="0.25">
      <c r="B79" s="747"/>
      <c r="C79" s="1" t="s">
        <v>24</v>
      </c>
      <c r="D79" s="2">
        <f>(1-J71)*100</f>
        <v>100</v>
      </c>
      <c r="E79" s="1"/>
    </row>
    <row r="80" spans="2:5" x14ac:dyDescent="0.25">
      <c r="B80" s="1"/>
      <c r="C80" s="1"/>
      <c r="D80" s="2"/>
      <c r="E80" s="1"/>
    </row>
    <row r="81" spans="2:5" x14ac:dyDescent="0.25">
      <c r="B81" s="5" t="s">
        <v>343</v>
      </c>
      <c r="C81" s="1" t="str">
        <f>C75</f>
        <v>Агрегированный показатель качества</v>
      </c>
      <c r="D81" s="2">
        <f>1-D82/100</f>
        <v>0.87045454545454548</v>
      </c>
      <c r="E81" s="1"/>
    </row>
    <row r="82" spans="2:5" x14ac:dyDescent="0.25">
      <c r="B82" s="1"/>
      <c r="C82" s="1" t="str">
        <f>C79</f>
        <v>%</v>
      </c>
      <c r="D82" s="2">
        <f>(K30-(G30/I30*K30))*100</f>
        <v>12.954545454545451</v>
      </c>
      <c r="E82" s="1"/>
    </row>
    <row r="83" spans="2:5" x14ac:dyDescent="0.25">
      <c r="B83" s="1"/>
      <c r="C83" s="1"/>
      <c r="D83" s="2"/>
      <c r="E83" s="1"/>
    </row>
    <row r="84" spans="2:5" x14ac:dyDescent="0.25">
      <c r="B84" s="1" t="s">
        <v>344</v>
      </c>
      <c r="C84" s="1" t="str">
        <f>C81</f>
        <v>Агрегированный показатель качества</v>
      </c>
      <c r="D84" s="2" t="e">
        <f>1-D85/100</f>
        <v>#DIV/0!</v>
      </c>
      <c r="E84" s="1"/>
    </row>
    <row r="85" spans="2:5" x14ac:dyDescent="0.25">
      <c r="B85" s="1"/>
      <c r="C85" s="1" t="str">
        <f>C82</f>
        <v>%</v>
      </c>
      <c r="D85" s="2" t="e">
        <f>(K32-(G32/I32*K32))*100</f>
        <v>#DIV/0!</v>
      </c>
      <c r="E85" s="1"/>
    </row>
    <row r="86" spans="2:5" x14ac:dyDescent="0.25">
      <c r="B86" s="1"/>
      <c r="C86" s="1"/>
      <c r="D86" s="2"/>
      <c r="E86" s="1"/>
    </row>
    <row r="87" spans="2:5" x14ac:dyDescent="0.25">
      <c r="B87" s="1" t="s">
        <v>345</v>
      </c>
      <c r="C87" s="1" t="str">
        <f>C84</f>
        <v>Агрегированный показатель качества</v>
      </c>
      <c r="D87" s="2" t="e">
        <f>1-D88/100</f>
        <v>#DIV/0!</v>
      </c>
      <c r="E87" s="1"/>
    </row>
    <row r="88" spans="2:5" x14ac:dyDescent="0.25">
      <c r="B88" s="1"/>
      <c r="C88" s="1" t="str">
        <f>C85</f>
        <v>%</v>
      </c>
      <c r="D88" s="2" t="e">
        <f>(K34-(G34/I34*K34))*100</f>
        <v>#DIV/0!</v>
      </c>
      <c r="E88" s="1"/>
    </row>
    <row r="89" spans="2:5" x14ac:dyDescent="0.25">
      <c r="B89" s="1"/>
      <c r="C89" s="1"/>
      <c r="D89" s="1"/>
      <c r="E89" s="1" t="s">
        <v>0</v>
      </c>
    </row>
    <row r="90" spans="2:5" x14ac:dyDescent="0.25">
      <c r="B90" s="1" t="s">
        <v>346</v>
      </c>
      <c r="C90" s="1" t="str">
        <f>C87</f>
        <v>Агрегированный показатель качества</v>
      </c>
      <c r="D90" s="2" t="e">
        <f>1-D91/100</f>
        <v>#DIV/0!</v>
      </c>
      <c r="E90" s="1"/>
    </row>
    <row r="91" spans="2:5" x14ac:dyDescent="0.25">
      <c r="B91" s="1"/>
      <c r="C91" s="1" t="str">
        <f>C88</f>
        <v>%</v>
      </c>
      <c r="D91" s="2" t="e">
        <f>(K30+K32-(G30/I30*K30+G32/I32*K32))*100</f>
        <v>#DIV/0!</v>
      </c>
      <c r="E91" s="1" t="e">
        <f>D85+D82</f>
        <v>#DIV/0!</v>
      </c>
    </row>
    <row r="92" spans="2:5" x14ac:dyDescent="0.25">
      <c r="B92" s="1"/>
      <c r="C92" s="1"/>
      <c r="D92" s="1"/>
      <c r="E92" s="1"/>
    </row>
    <row r="93" spans="2:5" x14ac:dyDescent="0.25">
      <c r="B93" s="1" t="s">
        <v>347</v>
      </c>
      <c r="C93" s="1" t="str">
        <f>C90</f>
        <v>Агрегированный показатель качества</v>
      </c>
      <c r="D93" s="2" t="e">
        <f>1-D94/100</f>
        <v>#DIV/0!</v>
      </c>
      <c r="E93" s="1"/>
    </row>
    <row r="94" spans="2:5" x14ac:dyDescent="0.25">
      <c r="B94" s="1"/>
      <c r="C94" s="1" t="str">
        <f>C91</f>
        <v>%</v>
      </c>
      <c r="D94" s="2" t="e">
        <f>(K30+K34-(G30/I30*K30+G34/I34*K34))*100</f>
        <v>#DIV/0!</v>
      </c>
      <c r="E94" s="1" t="e">
        <f>D82+D88</f>
        <v>#DIV/0!</v>
      </c>
    </row>
    <row r="95" spans="2:5" x14ac:dyDescent="0.25">
      <c r="B95" s="1"/>
      <c r="C95" s="1"/>
      <c r="D95" s="1"/>
      <c r="E95" s="1"/>
    </row>
    <row r="96" spans="2:5" x14ac:dyDescent="0.25">
      <c r="B96" s="1" t="s">
        <v>348</v>
      </c>
      <c r="C96" s="1" t="str">
        <f>C93</f>
        <v>Агрегированный показатель качества</v>
      </c>
      <c r="D96" s="2" t="e">
        <f>1-D97/100</f>
        <v>#DIV/0!</v>
      </c>
      <c r="E96" s="1"/>
    </row>
    <row r="97" spans="2:5" x14ac:dyDescent="0.25">
      <c r="B97" s="1"/>
      <c r="C97" s="1" t="str">
        <f>C94</f>
        <v>%</v>
      </c>
      <c r="D97" s="2" t="e">
        <f>(K34+K32-(G32/I32*K32+G34/I34*K34))*100</f>
        <v>#DIV/0!</v>
      </c>
      <c r="E97" s="1" t="e">
        <f>D85+D88</f>
        <v>#DIV/0!</v>
      </c>
    </row>
  </sheetData>
  <mergeCells count="138">
    <mergeCell ref="A2:K2"/>
    <mergeCell ref="B4:C4"/>
    <mergeCell ref="D4:E4"/>
    <mergeCell ref="F4:G4"/>
    <mergeCell ref="H4:I4"/>
    <mergeCell ref="B5:K5"/>
    <mergeCell ref="J6:J7"/>
    <mergeCell ref="K6:K7"/>
    <mergeCell ref="C8:C9"/>
    <mergeCell ref="E8:E9"/>
    <mergeCell ref="G8:G9"/>
    <mergeCell ref="I8:I9"/>
    <mergeCell ref="J8:J9"/>
    <mergeCell ref="K8:K9"/>
    <mergeCell ref="A6:A9"/>
    <mergeCell ref="B6:B9"/>
    <mergeCell ref="C6:C7"/>
    <mergeCell ref="E6:E7"/>
    <mergeCell ref="G6:G7"/>
    <mergeCell ref="I6:I7"/>
    <mergeCell ref="J10:J11"/>
    <mergeCell ref="K10:K11"/>
    <mergeCell ref="D11:E11"/>
    <mergeCell ref="A12:A17"/>
    <mergeCell ref="B12:B17"/>
    <mergeCell ref="C12:C13"/>
    <mergeCell ref="E12:E13"/>
    <mergeCell ref="G12:G13"/>
    <mergeCell ref="I12:I13"/>
    <mergeCell ref="J12:J13"/>
    <mergeCell ref="A10:A11"/>
    <mergeCell ref="B10:B11"/>
    <mergeCell ref="C10:C11"/>
    <mergeCell ref="D10:E10"/>
    <mergeCell ref="G10:G11"/>
    <mergeCell ref="I10:I11"/>
    <mergeCell ref="C16:C17"/>
    <mergeCell ref="D16:E16"/>
    <mergeCell ref="G16:G17"/>
    <mergeCell ref="I16:I17"/>
    <mergeCell ref="J16:J17"/>
    <mergeCell ref="K16:K17"/>
    <mergeCell ref="D17:E17"/>
    <mergeCell ref="K12:K13"/>
    <mergeCell ref="C14:C15"/>
    <mergeCell ref="D14:E14"/>
    <mergeCell ref="G14:G15"/>
    <mergeCell ref="I14:I15"/>
    <mergeCell ref="J14:J15"/>
    <mergeCell ref="K14:K15"/>
    <mergeCell ref="D15:E15"/>
    <mergeCell ref="C21:C22"/>
    <mergeCell ref="E21:E22"/>
    <mergeCell ref="G21:G22"/>
    <mergeCell ref="I21:I22"/>
    <mergeCell ref="J21:J22"/>
    <mergeCell ref="K21:K22"/>
    <mergeCell ref="B18:K18"/>
    <mergeCell ref="A19:A22"/>
    <mergeCell ref="B19:B22"/>
    <mergeCell ref="C19:C20"/>
    <mergeCell ref="D19:E19"/>
    <mergeCell ref="G19:G20"/>
    <mergeCell ref="I19:I20"/>
    <mergeCell ref="J19:J20"/>
    <mergeCell ref="K19:K20"/>
    <mergeCell ref="D20:E20"/>
    <mergeCell ref="A25:A28"/>
    <mergeCell ref="B25:B28"/>
    <mergeCell ref="C25:C26"/>
    <mergeCell ref="E25:E26"/>
    <mergeCell ref="G25:G26"/>
    <mergeCell ref="I25:I26"/>
    <mergeCell ref="J25:J26"/>
    <mergeCell ref="A23:A24"/>
    <mergeCell ref="B23:B24"/>
    <mergeCell ref="C23:C24"/>
    <mergeCell ref="D23:E23"/>
    <mergeCell ref="G23:G24"/>
    <mergeCell ref="I23:I24"/>
    <mergeCell ref="K25:K26"/>
    <mergeCell ref="C27:C28"/>
    <mergeCell ref="D27:E27"/>
    <mergeCell ref="G27:G28"/>
    <mergeCell ref="I27:I28"/>
    <mergeCell ref="J27:J28"/>
    <mergeCell ref="K27:K28"/>
    <mergeCell ref="D28:E28"/>
    <mergeCell ref="J23:J24"/>
    <mergeCell ref="K23:K24"/>
    <mergeCell ref="D24:E24"/>
    <mergeCell ref="A32:A35"/>
    <mergeCell ref="B32:B35"/>
    <mergeCell ref="B29:K29"/>
    <mergeCell ref="A30:A31"/>
    <mergeCell ref="B30:B31"/>
    <mergeCell ref="C30:C31"/>
    <mergeCell ref="D30:E30"/>
    <mergeCell ref="G30:G31"/>
    <mergeCell ref="I30:I31"/>
    <mergeCell ref="J30:J31"/>
    <mergeCell ref="K30:K31"/>
    <mergeCell ref="D31:E31"/>
    <mergeCell ref="J32:J33"/>
    <mergeCell ref="K32:K33"/>
    <mergeCell ref="C34:C35"/>
    <mergeCell ref="E34:E35"/>
    <mergeCell ref="G34:G35"/>
    <mergeCell ref="I34:I35"/>
    <mergeCell ref="J34:J35"/>
    <mergeCell ref="K34:K35"/>
    <mergeCell ref="C32:C33"/>
    <mergeCell ref="E32:E33"/>
    <mergeCell ref="G32:G33"/>
    <mergeCell ref="I32:I33"/>
    <mergeCell ref="K36:K37"/>
    <mergeCell ref="C38:C39"/>
    <mergeCell ref="D38:E38"/>
    <mergeCell ref="G38:G39"/>
    <mergeCell ref="I38:I39"/>
    <mergeCell ref="J38:J39"/>
    <mergeCell ref="K38:K39"/>
    <mergeCell ref="A36:A39"/>
    <mergeCell ref="B36:B39"/>
    <mergeCell ref="D36:E36"/>
    <mergeCell ref="D37:E37"/>
    <mergeCell ref="C36:C37"/>
    <mergeCell ref="G36:G37"/>
    <mergeCell ref="I36:I37"/>
    <mergeCell ref="B75:B79"/>
    <mergeCell ref="B43:F43"/>
    <mergeCell ref="B45:F45"/>
    <mergeCell ref="B47:F47"/>
    <mergeCell ref="B41:F41"/>
    <mergeCell ref="B42:F42"/>
    <mergeCell ref="B46:F46"/>
    <mergeCell ref="D39:E39"/>
    <mergeCell ref="J36:J37"/>
  </mergeCells>
  <pageMargins left="0.7" right="0.7" top="0.75" bottom="0.75" header="0.3" footer="0.3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D2A99-5244-4058-9BCA-34E6DEF2600B}">
  <sheetPr codeName="Лист6"/>
  <dimension ref="A1:P22"/>
  <sheetViews>
    <sheetView workbookViewId="0">
      <selection activeCell="E14" sqref="E14"/>
    </sheetView>
  </sheetViews>
  <sheetFormatPr defaultRowHeight="12.75" x14ac:dyDescent="0.2"/>
  <cols>
    <col min="1" max="1" width="19" customWidth="1"/>
    <col min="2" max="2" width="9.28515625" customWidth="1"/>
    <col min="3" max="3" width="19.85546875" customWidth="1"/>
    <col min="4" max="4" width="18.28515625" customWidth="1"/>
    <col min="5" max="5" width="15.42578125" customWidth="1"/>
    <col min="6" max="6" width="19.7109375" customWidth="1"/>
    <col min="8" max="8" width="17.85546875" customWidth="1"/>
    <col min="9" max="9" width="29.28515625" customWidth="1"/>
    <col min="10" max="10" width="28.5703125" customWidth="1"/>
    <col min="11" max="11" width="14.7109375" customWidth="1"/>
  </cols>
  <sheetData>
    <row r="1" spans="1:16" ht="13.5" thickBot="1" x14ac:dyDescent="0.25"/>
    <row r="2" spans="1:16" ht="63.75" thickBot="1" x14ac:dyDescent="0.25">
      <c r="A2" s="806" t="s">
        <v>365</v>
      </c>
      <c r="B2" s="806" t="s">
        <v>366</v>
      </c>
      <c r="C2" s="7" t="s">
        <v>367</v>
      </c>
      <c r="D2" s="7" t="s">
        <v>368</v>
      </c>
      <c r="E2" s="7" t="s">
        <v>369</v>
      </c>
      <c r="F2" s="7" t="s">
        <v>370</v>
      </c>
      <c r="H2" s="9" t="s">
        <v>365</v>
      </c>
      <c r="I2" s="10" t="s">
        <v>373</v>
      </c>
      <c r="J2" s="10" t="s">
        <v>374</v>
      </c>
      <c r="K2" s="10" t="s">
        <v>375</v>
      </c>
      <c r="L2" s="15" t="s">
        <v>0</v>
      </c>
      <c r="M2" s="809"/>
      <c r="N2" s="809"/>
      <c r="O2" s="809"/>
      <c r="P2" s="809"/>
    </row>
    <row r="3" spans="1:16" ht="17.25" customHeight="1" thickBot="1" x14ac:dyDescent="0.25">
      <c r="A3" s="807"/>
      <c r="B3" s="807"/>
      <c r="C3" s="8" t="s">
        <v>31</v>
      </c>
      <c r="D3" s="8" t="s">
        <v>371</v>
      </c>
      <c r="E3" s="8" t="s">
        <v>24</v>
      </c>
      <c r="F3" s="8" t="s">
        <v>372</v>
      </c>
      <c r="H3" s="810" t="s">
        <v>376</v>
      </c>
      <c r="I3" s="810" t="s">
        <v>377</v>
      </c>
      <c r="J3" s="11" t="s">
        <v>378</v>
      </c>
      <c r="K3" s="13">
        <f>IF('Расчет тарифа мет. инд. 5 лет'!$F$6='Расчет тарифа мет. инд. 5 лет'!$AR$125,'Расчет тарифа мет. инд. 5 лет'!T178,'Расчет тарифа мет. инд. 5 лет'!T173)</f>
        <v>375.6671534485734</v>
      </c>
      <c r="L3" s="14">
        <f>K3/K13</f>
        <v>1</v>
      </c>
    </row>
    <row r="4" spans="1:16" ht="16.5" customHeight="1" thickBot="1" x14ac:dyDescent="0.25">
      <c r="A4" s="806" t="s">
        <v>376</v>
      </c>
      <c r="B4" s="8">
        <v>2024</v>
      </c>
      <c r="C4" s="12">
        <f>'Расчет тарифа мет. инд. 5 лет'!W25</f>
        <v>402.30772496023371</v>
      </c>
      <c r="D4" s="8" t="s">
        <v>231</v>
      </c>
      <c r="E4" s="12">
        <v>0</v>
      </c>
      <c r="F4" s="12">
        <f>'Расчет тарифа мет. инд. 5 лет'!V196</f>
        <v>0</v>
      </c>
      <c r="H4" s="811"/>
      <c r="I4" s="811"/>
      <c r="J4" s="11" t="s">
        <v>379</v>
      </c>
      <c r="K4" s="13">
        <f>IF('Расчет тарифа мет. инд. 5 лет'!$F$6='Расчет тарифа мет. инд. 5 лет'!$AR$125,'Расчет тарифа мет. инд. 5 лет'!U178,'Расчет тарифа мет. инд. 5 лет'!U173)</f>
        <v>375.66514995701539</v>
      </c>
      <c r="L4" s="14">
        <f>K4/K14</f>
        <v>1</v>
      </c>
    </row>
    <row r="5" spans="1:16" ht="16.5" customHeight="1" thickBot="1" x14ac:dyDescent="0.25">
      <c r="A5" s="808"/>
      <c r="B5" s="8">
        <v>2025</v>
      </c>
      <c r="C5" s="8" t="s">
        <v>231</v>
      </c>
      <c r="D5" s="8">
        <v>1</v>
      </c>
      <c r="E5" s="12">
        <v>0</v>
      </c>
      <c r="F5" s="12">
        <f>F4</f>
        <v>0</v>
      </c>
      <c r="H5" s="811"/>
      <c r="I5" s="811"/>
      <c r="J5" s="11" t="s">
        <v>380</v>
      </c>
      <c r="K5" s="13">
        <f>IF('Расчет тарифа мет. инд. 5 лет'!$F$6='Расчет тарифа мет. инд. 5 лет'!$AR$125,'Расчет тарифа мет. инд. 5 лет'!AB179,'Расчет тарифа мет. инд. 5 лет'!AB175)</f>
        <v>375.67</v>
      </c>
      <c r="L5" s="14">
        <f t="shared" ref="L5:L12" si="0">K5/K15</f>
        <v>1</v>
      </c>
    </row>
    <row r="6" spans="1:16" ht="16.5" customHeight="1" thickBot="1" x14ac:dyDescent="0.25">
      <c r="A6" s="808"/>
      <c r="B6" s="8">
        <v>2026</v>
      </c>
      <c r="C6" s="8" t="s">
        <v>231</v>
      </c>
      <c r="D6" s="8">
        <v>1</v>
      </c>
      <c r="E6" s="12">
        <v>0</v>
      </c>
      <c r="F6" s="12">
        <f>F5</f>
        <v>0</v>
      </c>
      <c r="H6" s="811"/>
      <c r="I6" s="811"/>
      <c r="J6" s="11" t="s">
        <v>381</v>
      </c>
      <c r="K6" s="13">
        <f>IF('Расчет тарифа мет. инд. 5 лет'!$F$6='Расчет тарифа мет. инд. 5 лет'!$AR$125,'Расчет тарифа мет. инд. 5 лет'!AB180,'Расчет тарифа мет. инд. 5 лет'!AB176)</f>
        <v>407.94980625195211</v>
      </c>
      <c r="L6" s="14">
        <f t="shared" si="0"/>
        <v>1</v>
      </c>
    </row>
    <row r="7" spans="1:16" ht="16.5" customHeight="1" thickBot="1" x14ac:dyDescent="0.25">
      <c r="A7" s="808"/>
      <c r="B7" s="8">
        <v>2027</v>
      </c>
      <c r="C7" s="8" t="s">
        <v>231</v>
      </c>
      <c r="D7" s="8">
        <v>1</v>
      </c>
      <c r="E7" s="12">
        <v>0</v>
      </c>
      <c r="F7" s="12">
        <f>F6</f>
        <v>0</v>
      </c>
      <c r="H7" s="811"/>
      <c r="I7" s="811"/>
      <c r="J7" s="11" t="s">
        <v>382</v>
      </c>
      <c r="K7" s="13">
        <f>IF('Расчет тарифа мет. инд. 5 лет'!$F$6='Расчет тарифа мет. инд. 5 лет'!$AR$125,'Расчет тарифа мет. инд. 5 лет'!AG179,'Расчет тарифа мет. инд. 5 лет'!AG175)</f>
        <v>407.95</v>
      </c>
      <c r="L7" s="14">
        <f t="shared" si="0"/>
        <v>1</v>
      </c>
    </row>
    <row r="8" spans="1:16" ht="16.5" customHeight="1" thickBot="1" x14ac:dyDescent="0.25">
      <c r="A8" s="807"/>
      <c r="B8" s="8">
        <v>2028</v>
      </c>
      <c r="C8" s="8" t="s">
        <v>231</v>
      </c>
      <c r="D8" s="8">
        <v>1</v>
      </c>
      <c r="E8" s="12">
        <v>0</v>
      </c>
      <c r="F8" s="12">
        <f>F7</f>
        <v>0</v>
      </c>
      <c r="H8" s="811"/>
      <c r="I8" s="811"/>
      <c r="J8" s="11" t="s">
        <v>383</v>
      </c>
      <c r="K8" s="13">
        <f>IF('Расчет тарифа мет. инд. 5 лет'!$F$6='Расчет тарифа мет. инд. 5 лет'!$AR$125,'Расчет тарифа мет. инд. 5 лет'!AG180,'Расчет тарифа мет. инд. 5 лет'!AG176)</f>
        <v>421.94225554121124</v>
      </c>
      <c r="L8" s="14">
        <f t="shared" si="0"/>
        <v>1</v>
      </c>
    </row>
    <row r="9" spans="1:16" ht="15.75" thickBot="1" x14ac:dyDescent="0.25">
      <c r="H9" s="811"/>
      <c r="I9" s="811"/>
      <c r="J9" s="11" t="s">
        <v>384</v>
      </c>
      <c r="K9" s="13">
        <f>IF('Расчет тарифа мет. инд. 5 лет'!$F$6='Расчет тарифа мет. инд. 5 лет'!$AR$125,'Расчет тарифа мет. инд. 5 лет'!AL179,'Расчет тарифа мет. инд. 5 лет'!AL175)</f>
        <v>421.94</v>
      </c>
      <c r="L9" s="14">
        <f t="shared" si="0"/>
        <v>1</v>
      </c>
    </row>
    <row r="10" spans="1:16" ht="17.25" customHeight="1" thickBot="1" x14ac:dyDescent="0.25">
      <c r="H10" s="811"/>
      <c r="I10" s="811"/>
      <c r="J10" s="11" t="s">
        <v>385</v>
      </c>
      <c r="K10" s="13">
        <f>IF('Расчет тарифа мет. инд. 5 лет'!$F$6='Расчет тарифа мет. инд. 5 лет'!$AR$125,'Расчет тарифа мет. инд. 5 лет'!AL180,'Расчет тарифа мет. инд. 5 лет'!AL176)</f>
        <v>433.16197583083175</v>
      </c>
      <c r="L10" s="14">
        <f t="shared" si="0"/>
        <v>1</v>
      </c>
    </row>
    <row r="11" spans="1:16" ht="17.25" customHeight="1" thickBot="1" x14ac:dyDescent="0.25">
      <c r="H11" s="811"/>
      <c r="I11" s="811"/>
      <c r="J11" s="11" t="s">
        <v>386</v>
      </c>
      <c r="K11" s="13">
        <f>IF('Расчет тарифа мет. инд. 5 лет'!$F$6='Расчет тарифа мет. инд. 5 лет'!$AR$125,'Расчет тарифа мет. инд. 5 лет'!AQ179,'Расчет тарифа мет. инд. 5 лет'!AQ175)</f>
        <v>433.16</v>
      </c>
      <c r="L11" s="14">
        <f t="shared" si="0"/>
        <v>1</v>
      </c>
    </row>
    <row r="12" spans="1:16" ht="17.25" customHeight="1" thickBot="1" x14ac:dyDescent="0.25">
      <c r="H12" s="811"/>
      <c r="I12" s="812"/>
      <c r="J12" s="11" t="s">
        <v>387</v>
      </c>
      <c r="K12" s="13">
        <f>IF('Расчет тарифа мет. инд. 5 лет'!$F$6='Расчет тарифа мет. инд. 5 лет'!$AR$125,'Расчет тарифа мет. инд. 5 лет'!AQ180,'Расчет тарифа мет. инд. 5 лет'!AQ176)</f>
        <v>469.68538781402481</v>
      </c>
      <c r="L12" s="14">
        <f t="shared" si="0"/>
        <v>1</v>
      </c>
    </row>
    <row r="13" spans="1:16" ht="17.25" customHeight="1" thickBot="1" x14ac:dyDescent="0.25">
      <c r="H13" s="811"/>
      <c r="I13" s="810" t="s">
        <v>388</v>
      </c>
      <c r="J13" s="11" t="s">
        <v>378</v>
      </c>
      <c r="K13" s="13">
        <f>'Расчет тарифа мет. инд. 5 лет'!T173</f>
        <v>375.6671534485734</v>
      </c>
    </row>
    <row r="14" spans="1:16" ht="17.25" customHeight="1" thickBot="1" x14ac:dyDescent="0.25">
      <c r="H14" s="811"/>
      <c r="I14" s="811"/>
      <c r="J14" s="11" t="s">
        <v>379</v>
      </c>
      <c r="K14" s="13">
        <f>'Расчет тарифа мет. инд. 5 лет'!U173</f>
        <v>375.66514995701539</v>
      </c>
    </row>
    <row r="15" spans="1:16" ht="17.25" customHeight="1" thickBot="1" x14ac:dyDescent="0.25">
      <c r="H15" s="811"/>
      <c r="I15" s="811"/>
      <c r="J15" s="11" t="s">
        <v>380</v>
      </c>
      <c r="K15" s="13">
        <f>'Расчет тарифа мет. инд. 5 лет'!AB175</f>
        <v>375.67</v>
      </c>
    </row>
    <row r="16" spans="1:16" ht="17.25" customHeight="1" thickBot="1" x14ac:dyDescent="0.25">
      <c r="H16" s="811"/>
      <c r="I16" s="811"/>
      <c r="J16" s="11" t="s">
        <v>381</v>
      </c>
      <c r="K16" s="13">
        <f>'Расчет тарифа мет. инд. 5 лет'!AB176</f>
        <v>407.94980625195211</v>
      </c>
    </row>
    <row r="17" spans="8:11" ht="17.25" customHeight="1" thickBot="1" x14ac:dyDescent="0.25">
      <c r="H17" s="811"/>
      <c r="I17" s="811"/>
      <c r="J17" s="11" t="s">
        <v>382</v>
      </c>
      <c r="K17" s="13">
        <f>'Расчет тарифа мет. инд. 5 лет'!AG175</f>
        <v>407.95</v>
      </c>
    </row>
    <row r="18" spans="8:11" ht="17.25" customHeight="1" thickBot="1" x14ac:dyDescent="0.25">
      <c r="H18" s="811"/>
      <c r="I18" s="811"/>
      <c r="J18" s="11" t="s">
        <v>383</v>
      </c>
      <c r="K18" s="13">
        <f>'Расчет тарифа мет. инд. 5 лет'!AG176</f>
        <v>421.94225554121124</v>
      </c>
    </row>
    <row r="19" spans="8:11" ht="17.25" customHeight="1" thickBot="1" x14ac:dyDescent="0.25">
      <c r="H19" s="811"/>
      <c r="I19" s="811"/>
      <c r="J19" s="11" t="s">
        <v>384</v>
      </c>
      <c r="K19" s="13">
        <f>'Расчет тарифа мет. инд. 5 лет'!AL175</f>
        <v>421.94</v>
      </c>
    </row>
    <row r="20" spans="8:11" ht="17.25" customHeight="1" thickBot="1" x14ac:dyDescent="0.25">
      <c r="H20" s="811"/>
      <c r="I20" s="811"/>
      <c r="J20" s="11" t="s">
        <v>385</v>
      </c>
      <c r="K20" s="13">
        <f>'Расчет тарифа мет. инд. 5 лет'!AL176</f>
        <v>433.16197583083175</v>
      </c>
    </row>
    <row r="21" spans="8:11" ht="17.25" customHeight="1" thickBot="1" x14ac:dyDescent="0.25">
      <c r="H21" s="811"/>
      <c r="I21" s="811"/>
      <c r="J21" s="11" t="s">
        <v>386</v>
      </c>
      <c r="K21" s="13">
        <f>'Расчет тарифа мет. инд. 5 лет'!AQ175</f>
        <v>433.16</v>
      </c>
    </row>
    <row r="22" spans="8:11" ht="17.25" customHeight="1" thickBot="1" x14ac:dyDescent="0.25">
      <c r="H22" s="812"/>
      <c r="I22" s="812"/>
      <c r="J22" s="11" t="s">
        <v>387</v>
      </c>
      <c r="K22" s="13">
        <f>'Расчет тарифа мет. инд. 5 лет'!AQ176</f>
        <v>469.68538781402481</v>
      </c>
    </row>
  </sheetData>
  <mergeCells count="7">
    <mergeCell ref="A2:A3"/>
    <mergeCell ref="A4:A8"/>
    <mergeCell ref="M2:P2"/>
    <mergeCell ref="B2:B3"/>
    <mergeCell ref="H3:H22"/>
    <mergeCell ref="I3:I12"/>
    <mergeCell ref="I13:I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Калькуляция</vt:lpstr>
      <vt:lpstr>Расчет тарифа мет. инд. 5 лет</vt:lpstr>
      <vt:lpstr>ФАКТ 21--22</vt:lpstr>
      <vt:lpstr>РЕМОНТ</vt:lpstr>
      <vt:lpstr>ПП(к ЭЗ)</vt:lpstr>
      <vt:lpstr>ПП к РЕШ</vt:lpstr>
      <vt:lpstr>КиН из заключения</vt:lpstr>
      <vt:lpstr>Расчет КиН (полный цикл)</vt:lpstr>
      <vt:lpstr>Тарифы и ДПР</vt:lpstr>
      <vt:lpstr>'Расчет тарифа мет. инд. 5 лет'!Заголовки_для_печати</vt:lpstr>
      <vt:lpstr>'ПП к РЕШ'!Область_печати</vt:lpstr>
      <vt:lpstr>'ПП(к ЭЗ)'!Область_печати</vt:lpstr>
      <vt:lpstr>'Расчет тарифа мет. инд. 5 лет'!Область_печати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2024-10-23T09:03:03Z</cp:lastPrinted>
  <dcterms:created xsi:type="dcterms:W3CDTF">2023-08-07T09:34:30Z</dcterms:created>
  <dcterms:modified xsi:type="dcterms:W3CDTF">2024-10-28T08:20:49Z</dcterms:modified>
</cp:coreProperties>
</file>